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esidencia\RI\Gestão 2021\Planilha Interativa\"/>
    </mc:Choice>
  </mc:AlternateContent>
  <bookViews>
    <workbookView xWindow="0" yWindow="0" windowWidth="20490" windowHeight="7020"/>
  </bookViews>
  <sheets>
    <sheet name="Menu" sheetId="2" r:id="rId1"/>
    <sheet name="Apoio" sheetId="8" state="hidden" r:id="rId2"/>
    <sheet name="DRE" sheetId="1" r:id="rId3"/>
    <sheet name="BP" sheetId="3" r:id="rId4"/>
    <sheet name="Desempenho Operacional" sheetId="6" r:id="rId5"/>
    <sheet name="DFC" sheetId="7" state="hidden" r:id="rId6"/>
  </sheets>
  <definedNames>
    <definedName name="_xlnm.Print_Area" localSheetId="0">Menu!$A$1:$N$33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0" i="1" l="1"/>
  <c r="AE28" i="1"/>
  <c r="AE25" i="1"/>
  <c r="AE17" i="1"/>
  <c r="AE10" i="1"/>
  <c r="AF19" i="6" l="1"/>
  <c r="AF20" i="6"/>
  <c r="AF18" i="6"/>
  <c r="AF14" i="6"/>
  <c r="AF15" i="6"/>
  <c r="AF13" i="6"/>
  <c r="AF8" i="6"/>
  <c r="AF9" i="6"/>
  <c r="AF10" i="6"/>
  <c r="AF7" i="6"/>
  <c r="X4" i="6"/>
  <c r="X4" i="1" l="1"/>
  <c r="X4" i="3"/>
  <c r="AE6" i="1"/>
  <c r="AE7" i="1"/>
  <c r="AE8" i="1"/>
  <c r="AE9" i="1"/>
  <c r="AE11" i="1"/>
  <c r="AE12" i="1"/>
  <c r="AE13" i="1"/>
  <c r="AE14" i="1"/>
  <c r="AE15" i="1"/>
  <c r="AE16" i="1"/>
  <c r="AE18" i="1"/>
  <c r="AE19" i="1"/>
  <c r="AE20" i="1"/>
  <c r="AE21" i="1"/>
  <c r="AE22" i="1"/>
  <c r="AE23" i="1"/>
  <c r="AE24" i="1"/>
  <c r="AE26" i="1"/>
  <c r="AE27" i="1"/>
  <c r="AE29" i="1"/>
  <c r="AE5" i="1"/>
  <c r="E18" i="6" l="1"/>
  <c r="E20" i="6"/>
  <c r="E19" i="6"/>
  <c r="E9" i="6" l="1"/>
  <c r="D20" i="6"/>
  <c r="D19" i="6"/>
  <c r="D9" i="6"/>
  <c r="C9" i="6"/>
  <c r="AF21" i="6" l="1"/>
  <c r="AE21" i="6"/>
  <c r="AD21" i="6"/>
  <c r="AC21" i="6"/>
  <c r="AF16" i="6"/>
  <c r="AE16" i="6"/>
  <c r="AD16" i="6"/>
  <c r="AC16" i="6"/>
  <c r="AB16" i="6"/>
  <c r="AF11" i="6"/>
  <c r="AE11" i="6"/>
  <c r="AD11" i="6"/>
  <c r="AC11" i="6"/>
  <c r="AB11" i="6"/>
  <c r="AE20" i="6"/>
  <c r="AD20" i="6"/>
  <c r="AC20" i="6"/>
  <c r="AB20" i="6"/>
  <c r="AA20" i="6"/>
  <c r="AE19" i="6"/>
  <c r="AD19" i="6"/>
  <c r="AC19" i="6"/>
  <c r="AE18" i="6"/>
  <c r="AD18" i="6"/>
  <c r="AC18" i="6"/>
  <c r="AB18" i="6"/>
  <c r="AA18" i="6"/>
  <c r="AE15" i="6"/>
  <c r="AD15" i="6"/>
  <c r="AC15" i="6"/>
  <c r="AB15" i="6"/>
  <c r="AA15" i="6"/>
  <c r="AE14" i="6"/>
  <c r="AD14" i="6"/>
  <c r="AC14" i="6"/>
  <c r="AB14" i="6"/>
  <c r="AA14" i="6"/>
  <c r="AE13" i="6"/>
  <c r="AD13" i="6"/>
  <c r="AC13" i="6"/>
  <c r="AB13" i="6"/>
  <c r="AA13" i="6"/>
  <c r="AE10" i="6"/>
  <c r="AD10" i="6"/>
  <c r="AC10" i="6"/>
  <c r="AB10" i="6"/>
  <c r="AE9" i="6"/>
  <c r="AD9" i="6"/>
  <c r="AC9" i="6"/>
  <c r="AB9" i="6"/>
  <c r="AE8" i="6"/>
  <c r="AD8" i="6"/>
  <c r="AC8" i="6"/>
  <c r="AB8" i="6"/>
  <c r="AA8" i="6"/>
  <c r="AE7" i="6"/>
  <c r="AD7" i="6"/>
  <c r="AC7" i="6"/>
  <c r="AB7" i="6"/>
  <c r="AA7" i="6"/>
  <c r="AA16" i="6" l="1"/>
  <c r="C39" i="3"/>
  <c r="AD29" i="1" l="1"/>
  <c r="AD27" i="1"/>
  <c r="AD24" i="1"/>
  <c r="AD23" i="1"/>
  <c r="AD22" i="1"/>
  <c r="AD21" i="1"/>
  <c r="AD18" i="1"/>
  <c r="AD16" i="1"/>
  <c r="AD15" i="1"/>
  <c r="AD14" i="1"/>
  <c r="AD13" i="1"/>
  <c r="AD12" i="1"/>
  <c r="AD11" i="1"/>
  <c r="AD9" i="1"/>
  <c r="AD8" i="1"/>
  <c r="AD7" i="1"/>
  <c r="AD5" i="1"/>
  <c r="AC29" i="1"/>
  <c r="AC27" i="1"/>
  <c r="AC24" i="1"/>
  <c r="AC23" i="1"/>
  <c r="AC22" i="1"/>
  <c r="AC21" i="1"/>
  <c r="AC18" i="1"/>
  <c r="AC16" i="1"/>
  <c r="AC15" i="1"/>
  <c r="AC14" i="1"/>
  <c r="AC13" i="1"/>
  <c r="AC12" i="1"/>
  <c r="AC11" i="1"/>
  <c r="AC9" i="1"/>
  <c r="AC8" i="1"/>
  <c r="AC7" i="1"/>
  <c r="AC5" i="1"/>
  <c r="AB29" i="1"/>
  <c r="AB27" i="1"/>
  <c r="AB24" i="1"/>
  <c r="AB23" i="1"/>
  <c r="AB22" i="1"/>
  <c r="AB21" i="1"/>
  <c r="AB18" i="1"/>
  <c r="AB16" i="1"/>
  <c r="AB15" i="1"/>
  <c r="AB14" i="1"/>
  <c r="AB13" i="1"/>
  <c r="AB12" i="1"/>
  <c r="AB11" i="1"/>
  <c r="AB9" i="1"/>
  <c r="AB8" i="1"/>
  <c r="AB7" i="1"/>
  <c r="AB25" i="1" s="1"/>
  <c r="AA29" i="1"/>
  <c r="AA27" i="1"/>
  <c r="AA24" i="1"/>
  <c r="AA23" i="1"/>
  <c r="AA22" i="1"/>
  <c r="AA21" i="1"/>
  <c r="AA18" i="1"/>
  <c r="AA16" i="1"/>
  <c r="AA17" i="1" s="1"/>
  <c r="AA15" i="1"/>
  <c r="AA14" i="1"/>
  <c r="AA13" i="1"/>
  <c r="AA12" i="1"/>
  <c r="AA11" i="1"/>
  <c r="AA9" i="1"/>
  <c r="AA8" i="1"/>
  <c r="AA7" i="1"/>
  <c r="AA6" i="1"/>
  <c r="AA5" i="1"/>
  <c r="Z29" i="1"/>
  <c r="Z27" i="1"/>
  <c r="Z24" i="1"/>
  <c r="Z23" i="1"/>
  <c r="Z22" i="1"/>
  <c r="Z21" i="1"/>
  <c r="Z18" i="1"/>
  <c r="Z16" i="1"/>
  <c r="Z15" i="1"/>
  <c r="Z14" i="1"/>
  <c r="Z13" i="1"/>
  <c r="Z12" i="1"/>
  <c r="Z11" i="1"/>
  <c r="Z9" i="1"/>
  <c r="Z8" i="1"/>
  <c r="Z7" i="1"/>
  <c r="Z28" i="1" s="1"/>
  <c r="J17" i="1"/>
  <c r="AB10" i="1" l="1"/>
  <c r="AB28" i="1"/>
  <c r="AC25" i="1"/>
  <c r="AC10" i="1"/>
  <c r="AC17" i="1"/>
  <c r="AC30" i="1"/>
  <c r="AD28" i="1"/>
  <c r="AD30" i="1"/>
  <c r="Z17" i="1"/>
  <c r="Z30" i="1"/>
  <c r="AA25" i="1"/>
  <c r="AD17" i="1"/>
  <c r="Z10" i="1"/>
  <c r="AA28" i="1"/>
  <c r="AD10" i="1"/>
  <c r="AA30" i="1"/>
  <c r="AB17" i="1"/>
  <c r="AB30" i="1"/>
  <c r="Z25" i="1"/>
  <c r="AA10" i="1"/>
  <c r="AC28" i="1"/>
  <c r="AD25" i="1"/>
  <c r="D17" i="1"/>
  <c r="S20" i="1" l="1"/>
  <c r="W20" i="1"/>
  <c r="W19" i="1"/>
  <c r="W21" i="6"/>
  <c r="W16" i="6"/>
  <c r="W11" i="6"/>
  <c r="A7" i="1" l="1"/>
  <c r="C6" i="1" l="1"/>
  <c r="Z6" i="1" s="1"/>
  <c r="C5" i="1"/>
  <c r="Z5" i="1" s="1"/>
  <c r="A50" i="3" l="1"/>
  <c r="A5" i="1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4" i="6"/>
  <c r="F17" i="1" l="1"/>
  <c r="G17" i="1"/>
  <c r="AQ4" i="7" l="1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B4" i="7"/>
  <c r="A16" i="1" l="1"/>
  <c r="A9" i="3" l="1"/>
  <c r="A10" i="3"/>
  <c r="A11" i="3"/>
  <c r="A12" i="3"/>
  <c r="A13" i="3"/>
  <c r="A14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1" i="3"/>
  <c r="A52" i="3"/>
  <c r="A53" i="3"/>
  <c r="A54" i="3"/>
  <c r="A55" i="3"/>
  <c r="A56" i="3"/>
  <c r="A57" i="3"/>
  <c r="A58" i="3"/>
  <c r="A59" i="3"/>
  <c r="A60" i="3"/>
  <c r="A61" i="3"/>
  <c r="A8" i="3" l="1"/>
  <c r="A7" i="3"/>
  <c r="A6" i="3"/>
  <c r="A4" i="3"/>
  <c r="C20" i="6" l="1"/>
  <c r="C19" i="6" l="1"/>
  <c r="C18" i="6"/>
  <c r="C10" i="6"/>
  <c r="B21" i="6"/>
  <c r="B16" i="6"/>
  <c r="D18" i="6" l="1"/>
  <c r="D21" i="6"/>
  <c r="C21" i="6"/>
  <c r="AA9" i="6"/>
  <c r="D10" i="6"/>
  <c r="C11" i="6"/>
  <c r="B11" i="6"/>
  <c r="D11" i="6" l="1"/>
  <c r="E10" i="6"/>
  <c r="I20" i="6"/>
  <c r="I19" i="6"/>
  <c r="AB19" i="6" s="1"/>
  <c r="AB21" i="6" s="1"/>
  <c r="E21" i="6" l="1"/>
  <c r="AA19" i="6"/>
  <c r="AA21" i="6" s="1"/>
  <c r="E11" i="6"/>
  <c r="AA10" i="6"/>
  <c r="AA11" i="6" s="1"/>
  <c r="H21" i="6"/>
  <c r="I21" i="6"/>
  <c r="G21" i="6" l="1"/>
  <c r="G14" i="6" l="1"/>
  <c r="H14" i="6" l="1"/>
  <c r="I14" i="6" s="1"/>
  <c r="H15" i="6"/>
  <c r="G16" i="6"/>
  <c r="H16" i="6" l="1"/>
  <c r="I15" i="6"/>
  <c r="I16" i="6" s="1"/>
  <c r="F21" i="6"/>
  <c r="F16" i="6"/>
  <c r="F11" i="6"/>
  <c r="G11" i="6" l="1"/>
  <c r="K21" i="6"/>
  <c r="J21" i="6"/>
  <c r="J16" i="6"/>
  <c r="J11" i="6"/>
  <c r="H11" i="6" l="1"/>
  <c r="I11" i="6"/>
  <c r="K6" i="1"/>
  <c r="V6" i="1"/>
  <c r="K5" i="1"/>
  <c r="AB5" i="1" s="1"/>
  <c r="A17" i="1" l="1"/>
  <c r="A29" i="1" l="1"/>
  <c r="A28" i="1"/>
  <c r="A26" i="1"/>
  <c r="A25" i="1"/>
  <c r="A24" i="1"/>
  <c r="A23" i="1"/>
  <c r="A22" i="1"/>
  <c r="A21" i="1" l="1"/>
  <c r="A19" i="1"/>
  <c r="A20" i="1"/>
  <c r="W4" i="6"/>
  <c r="V4" i="6"/>
  <c r="U4" i="6"/>
  <c r="T4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D4" i="6"/>
  <c r="C4" i="6"/>
  <c r="B4" i="6"/>
  <c r="A18" i="1"/>
  <c r="A15" i="1" l="1"/>
  <c r="A13" i="1"/>
  <c r="A11" i="1"/>
  <c r="A12" i="1"/>
  <c r="A10" i="1"/>
  <c r="A9" i="1"/>
  <c r="A8" i="1"/>
  <c r="B4" i="3" l="1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B4" i="1"/>
  <c r="C4" i="1"/>
  <c r="D4" i="1"/>
  <c r="E4" i="1"/>
  <c r="F4" i="1"/>
  <c r="G4" i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A4" i="1"/>
  <c r="A6" i="1"/>
  <c r="U26" i="1" l="1"/>
  <c r="S6" i="1" l="1"/>
  <c r="T20" i="1"/>
  <c r="S19" i="1"/>
  <c r="T19" i="1" l="1"/>
  <c r="U19" i="1"/>
  <c r="AD19" i="1" s="1"/>
  <c r="U20" i="1"/>
  <c r="AD20" i="1" s="1"/>
  <c r="T6" i="1"/>
  <c r="U6" i="1" s="1"/>
  <c r="K26" i="1"/>
  <c r="L26" i="1" s="1"/>
  <c r="O26" i="1"/>
  <c r="P26" i="1" s="1"/>
  <c r="AD6" i="1" l="1"/>
  <c r="M26" i="1"/>
  <c r="Q26" i="1"/>
  <c r="O6" i="1" l="1"/>
  <c r="P6" i="1" l="1"/>
  <c r="Q6" i="1" s="1"/>
  <c r="O20" i="1"/>
  <c r="O19" i="1"/>
  <c r="AC6" i="1" l="1"/>
  <c r="P19" i="1"/>
  <c r="Q19" i="1" s="1"/>
  <c r="P20" i="1"/>
  <c r="K20" i="1"/>
  <c r="K19" i="1"/>
  <c r="AC19" i="1" l="1"/>
  <c r="Q20" i="1"/>
  <c r="AC20" i="1" s="1"/>
  <c r="L20" i="1"/>
  <c r="M20" i="1" s="1"/>
  <c r="L19" i="1"/>
  <c r="M19" i="1" s="1"/>
  <c r="G20" i="1"/>
  <c r="G19" i="1"/>
  <c r="B20" i="1"/>
  <c r="B19" i="1"/>
  <c r="H19" i="1" l="1"/>
  <c r="AB19" i="1"/>
  <c r="AB20" i="1"/>
  <c r="H20" i="1"/>
  <c r="I20" i="1" s="1"/>
  <c r="C20" i="1"/>
  <c r="D20" i="1" s="1"/>
  <c r="E20" i="1" s="1"/>
  <c r="M6" i="1"/>
  <c r="AB6" i="1" s="1"/>
  <c r="C19" i="1"/>
  <c r="I19" i="1" l="1"/>
  <c r="AA19" i="1" s="1"/>
  <c r="AA20" i="1"/>
  <c r="Z20" i="1"/>
  <c r="D19" i="1"/>
  <c r="E19" i="1" s="1"/>
  <c r="Z19" i="1" l="1"/>
  <c r="A14" i="1"/>
</calcChain>
</file>

<file path=xl/comments1.xml><?xml version="1.0" encoding="utf-8"?>
<comments xmlns="http://schemas.openxmlformats.org/spreadsheetml/2006/main">
  <authors>
    <author>Leticia Caroline Santos Silva</author>
  </authors>
  <commentList>
    <comment ref="A8" authorId="0" shapeId="0">
      <text>
        <r>
          <rPr>
            <b/>
            <sz val="9"/>
            <color indexed="81"/>
            <rFont val="Segoe UI"/>
            <family val="2"/>
          </rPr>
          <t>Leticia Caroline Santos Silva:</t>
        </r>
        <r>
          <rPr>
            <sz val="9"/>
            <color indexed="81"/>
            <rFont val="Segoe UI"/>
            <family val="2"/>
          </rPr>
          <t xml:space="preserve">
Verificar se vai apresentar essa infrrmação</t>
        </r>
      </text>
    </comment>
    <comment ref="A9" authorId="0" shapeId="0">
      <text>
        <r>
          <rPr>
            <b/>
            <sz val="9"/>
            <color indexed="81"/>
            <rFont val="Segoe UI"/>
            <family val="2"/>
          </rPr>
          <t>Leticia Caroline Santos Silva:</t>
        </r>
        <r>
          <rPr>
            <sz val="9"/>
            <color indexed="81"/>
            <rFont val="Segoe UI"/>
            <family val="2"/>
          </rPr>
          <t xml:space="preserve">
Verificar se vai apresentar essa infrrmação</t>
        </r>
      </text>
    </comment>
  </commentList>
</comments>
</file>

<file path=xl/sharedStrings.xml><?xml version="1.0" encoding="utf-8"?>
<sst xmlns="http://schemas.openxmlformats.org/spreadsheetml/2006/main" count="387" uniqueCount="263">
  <si>
    <t>1T18</t>
  </si>
  <si>
    <t>2T18</t>
  </si>
  <si>
    <t>3T18</t>
  </si>
  <si>
    <t>4T18</t>
  </si>
  <si>
    <t>1T20</t>
  </si>
  <si>
    <t>2T20</t>
  </si>
  <si>
    <t>3T20</t>
  </si>
  <si>
    <t>4T20</t>
  </si>
  <si>
    <t>2T22</t>
  </si>
  <si>
    <t>3T22</t>
  </si>
  <si>
    <t>4T22</t>
  </si>
  <si>
    <t>1T23</t>
  </si>
  <si>
    <t>2T23</t>
  </si>
  <si>
    <t>3T23</t>
  </si>
  <si>
    <t>4T23</t>
  </si>
  <si>
    <t>1T24</t>
  </si>
  <si>
    <t>Corrente</t>
  </si>
  <si>
    <t>Diferido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</si>
  <si>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</si>
  <si>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</si>
  <si>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</si>
  <si>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</si>
  <si>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</si>
  <si>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</si>
  <si>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</si>
  <si>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</si>
  <si>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</si>
  <si>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</si>
  <si>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</si>
  <si>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</si>
  <si>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</si>
  <si>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</si>
  <si>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</si>
  <si>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</si>
  <si>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1T19</t>
  </si>
  <si>
    <t>2T19</t>
  </si>
  <si>
    <t>3T19</t>
  </si>
  <si>
    <t>4T19</t>
  </si>
  <si>
    <t>1T21</t>
  </si>
  <si>
    <t>2T21</t>
  </si>
  <si>
    <t>3T21</t>
  </si>
  <si>
    <t>4T21</t>
  </si>
  <si>
    <t>1T22</t>
  </si>
  <si>
    <t>2T24</t>
  </si>
  <si>
    <t>Margem bruta</t>
  </si>
  <si>
    <t>Resultado da equivalência patrimonial</t>
  </si>
  <si>
    <t>Resultado financeiro líquido</t>
  </si>
  <si>
    <t>Despesas financeiras</t>
  </si>
  <si>
    <t>Receitas financeiras</t>
  </si>
  <si>
    <t>Lucro antes do imposto de renda e da contribuição social</t>
  </si>
  <si>
    <t>Margem líquida</t>
  </si>
  <si>
    <t>Lucro líquido por ação - R$</t>
  </si>
  <si>
    <t>EBITDA</t>
  </si>
  <si>
    <t>Margem EBITDA</t>
  </si>
  <si>
    <t>-</t>
  </si>
  <si>
    <t>Perda estimada por não recuperabilidade de ativos e provisão para
reestruturação</t>
  </si>
  <si>
    <t>Lucro bruto recorrente</t>
  </si>
  <si>
    <t xml:space="preserve">Margem bruta recorrente </t>
  </si>
  <si>
    <t>Custos dos produtos e mercadorias vendidos e dos serviços prestados</t>
  </si>
  <si>
    <t>Lucro (prejuízo) bruto</t>
  </si>
  <si>
    <t>Lucro (Prejuízo) líquido do período</t>
  </si>
  <si>
    <t>Margem líquida recorrente</t>
  </si>
  <si>
    <t>Receita líquida</t>
  </si>
  <si>
    <t>Lucro (prejuízo) líquido recorrente</t>
  </si>
  <si>
    <t>Planilha de dados financeiros</t>
  </si>
  <si>
    <t>Financials spreadsheet</t>
  </si>
  <si>
    <t>Última atualização em:</t>
  </si>
  <si>
    <t>Last updated at:</t>
  </si>
  <si>
    <t>ATIVO</t>
  </si>
  <si>
    <t>Circulante</t>
  </si>
  <si>
    <t>Caixa e equivalentes de caixa</t>
  </si>
  <si>
    <t>Aplicações financeiras</t>
  </si>
  <si>
    <t>Contas a receber</t>
  </si>
  <si>
    <t>Partes relacionadas</t>
  </si>
  <si>
    <t>Balanço Patrimonial Eternit S. A. Consolidado (em R$ mil)</t>
  </si>
  <si>
    <t>Estoques</t>
  </si>
  <si>
    <t>Impostos a recuperar</t>
  </si>
  <si>
    <t>Outros ativos circulantes</t>
  </si>
  <si>
    <t>Não circulante</t>
  </si>
  <si>
    <t>Imposto de renda e contribuição social diferidos</t>
  </si>
  <si>
    <t>Depósitos judiciais</t>
  </si>
  <si>
    <t>Investimentos</t>
  </si>
  <si>
    <t>Imobilizado</t>
  </si>
  <si>
    <t>Intangível</t>
  </si>
  <si>
    <t>Outros ativos não circulantes</t>
  </si>
  <si>
    <t>Total do ativo</t>
  </si>
  <si>
    <t>PASSIVO e PATRIMÔNIO LÍQUIDO</t>
  </si>
  <si>
    <t xml:space="preserve">Fornecedores </t>
  </si>
  <si>
    <t>Empréstimos e financiamentos</t>
  </si>
  <si>
    <t>Provisões e encargos sociais</t>
  </si>
  <si>
    <t>Dividendos e juros sobre o capital próprio a pagar</t>
  </si>
  <si>
    <t>Outros passivos circulantes</t>
  </si>
  <si>
    <t>Partes Relacionadas</t>
  </si>
  <si>
    <t>Income Statement  Eternit S. A. Consolidated (R$ thousand)</t>
  </si>
  <si>
    <t>Receita Bruta</t>
  </si>
  <si>
    <t>Gross Revenue</t>
  </si>
  <si>
    <t>Gross revenues deductions</t>
  </si>
  <si>
    <t>Deduções da Receita</t>
  </si>
  <si>
    <t>Provisão para riscos tributários, cíveis e trabalhistas</t>
  </si>
  <si>
    <t>Impostos, taxas e contribuições a recolher</t>
  </si>
  <si>
    <t>Outros passivos não circulantes</t>
  </si>
  <si>
    <t>Patrimônio líquido</t>
  </si>
  <si>
    <t>Capital social</t>
  </si>
  <si>
    <t>Reserva de capital</t>
  </si>
  <si>
    <t>Ações em tesouraria</t>
  </si>
  <si>
    <t>Outros Resultados Abrangentes</t>
  </si>
  <si>
    <t>Reservas de lucros</t>
  </si>
  <si>
    <t>Patrimônio líquido atribuível a acionistas não minoritários</t>
  </si>
  <si>
    <t>Participação de acionistas minoritários</t>
  </si>
  <si>
    <t>Passivo e patrimônio Líquido</t>
  </si>
  <si>
    <t>Net revenues</t>
  </si>
  <si>
    <t>Ativo mantido para a venda</t>
  </si>
  <si>
    <t>Prejuízos acumulados</t>
  </si>
  <si>
    <t>Instrumentos financeiros derivativos</t>
  </si>
  <si>
    <t>Provisão para benefício pós-emprego</t>
  </si>
  <si>
    <t>Obrigações com pessoal</t>
  </si>
  <si>
    <t>Prejuízos do período</t>
  </si>
  <si>
    <t>Provisão para perdas em investimentos</t>
  </si>
  <si>
    <t>Provisão para reestruturação</t>
  </si>
  <si>
    <t>Gross profit (loss)</t>
  </si>
  <si>
    <t>Gross margin</t>
  </si>
  <si>
    <t>Adjusted gross profit</t>
  </si>
  <si>
    <t>Adjusted gross margin</t>
  </si>
  <si>
    <t>Provisão para desmobilização da mina</t>
  </si>
  <si>
    <t>Selling expenses</t>
  </si>
  <si>
    <t>Other operating income (expenses), net</t>
  </si>
  <si>
    <t>Despesas com vendas</t>
  </si>
  <si>
    <t>Outras receitas (despesas) operacionais</t>
  </si>
  <si>
    <t>Margem EBIT</t>
  </si>
  <si>
    <t>EBIT margin</t>
  </si>
  <si>
    <t>Equity pickup</t>
  </si>
  <si>
    <t>Provision for restructuring and desmobilization</t>
  </si>
  <si>
    <t>Obrigações de arrendamento</t>
  </si>
  <si>
    <t>Recebimento antecipado de clientes</t>
  </si>
  <si>
    <t>Financial income (expenses), net</t>
  </si>
  <si>
    <t>Adiantamento a fornecedores</t>
  </si>
  <si>
    <t>Imposto de renda e contribuição social diferido</t>
  </si>
  <si>
    <t>Ativo de direito uso</t>
  </si>
  <si>
    <t>180.20</t>
  </si>
  <si>
    <t>Financial expenses</t>
  </si>
  <si>
    <t>Financial income</t>
  </si>
  <si>
    <t>Loss before income and social contribution
taxes</t>
  </si>
  <si>
    <t>Desempenho Operacional</t>
  </si>
  <si>
    <t>Segmento de Fibrocimento</t>
  </si>
  <si>
    <t>Volume de vendas de Telhas de Fibrocimento (t)</t>
  </si>
  <si>
    <t>Volume de vendas de Sistemas Construtivos (t)</t>
  </si>
  <si>
    <t>Receita líquida - R$ mil</t>
  </si>
  <si>
    <t>Lucro bruto - R$ mil</t>
  </si>
  <si>
    <t>Margem bruta - R$ mil</t>
  </si>
  <si>
    <t>Segmento de Mineral Crisotila</t>
  </si>
  <si>
    <t>Volume de vendas Mineral Crisotila (t)</t>
  </si>
  <si>
    <t>Segmento de Telhas de Concreto</t>
  </si>
  <si>
    <t>Volume de vendas de Telhas de Concreto (mil peças)</t>
  </si>
  <si>
    <t>Current income tax and social
contribution</t>
  </si>
  <si>
    <t>Net income (loss) for the period</t>
  </si>
  <si>
    <t>Adjusted Net Margin</t>
  </si>
  <si>
    <t>Net margin</t>
  </si>
  <si>
    <t xml:space="preserve">EBIT margin </t>
  </si>
  <si>
    <t>Adjusted EBITDA Margin</t>
  </si>
  <si>
    <t>Adjusted EBITDA</t>
  </si>
  <si>
    <t xml:space="preserve">Net income (loss) for the period </t>
  </si>
  <si>
    <t>Earnings (loss) per share, basic and diluted - R$</t>
  </si>
  <si>
    <t>Balance Sheet Eternit S. A. Consolidated (R$ thousand)</t>
  </si>
  <si>
    <t>ASSETS</t>
  </si>
  <si>
    <t>Current</t>
  </si>
  <si>
    <t>Cash and cash equivalents</t>
  </si>
  <si>
    <t>Financial Investments</t>
  </si>
  <si>
    <t>Accounts receivable</t>
  </si>
  <si>
    <t>Inventories</t>
  </si>
  <si>
    <t>Recoverable taxes</t>
  </si>
  <si>
    <t>Deferred income and social contribution taxes</t>
  </si>
  <si>
    <t>Related parties</t>
  </si>
  <si>
    <t>Prepaid expenses</t>
  </si>
  <si>
    <t>Other current assets</t>
  </si>
  <si>
    <t>Current assets held for sale</t>
  </si>
  <si>
    <t>Non-current</t>
  </si>
  <si>
    <t>Judicial deposits</t>
  </si>
  <si>
    <t>Taxes recoverable</t>
  </si>
  <si>
    <t>Other noncurrent assets</t>
  </si>
  <si>
    <t>Investments</t>
  </si>
  <si>
    <t>Right-of-use assets</t>
  </si>
  <si>
    <t>Property, Plant and Equipment (PP&amp;E)</t>
  </si>
  <si>
    <t>Intangible assets</t>
  </si>
  <si>
    <t>Total assets</t>
  </si>
  <si>
    <t>LIABILITIES AND EQUITY</t>
  </si>
  <si>
    <t>Trade accounts payable</t>
  </si>
  <si>
    <t>Loans and financing</t>
  </si>
  <si>
    <t>Personnel expenses</t>
  </si>
  <si>
    <t>Dividends and interest on equity payable</t>
  </si>
  <si>
    <t>Taxes, charges and contributions payable</t>
  </si>
  <si>
    <t>Provision for post-employment benefits</t>
  </si>
  <si>
    <t>Lease obligations</t>
  </si>
  <si>
    <t>Other current liabilities</t>
  </si>
  <si>
    <t>Client receipt in advance</t>
  </si>
  <si>
    <t>Derivative financial instruments</t>
  </si>
  <si>
    <t>Restructuring provision</t>
  </si>
  <si>
    <t>Provisions and social charges</t>
  </si>
  <si>
    <t>Non-Current</t>
  </si>
  <si>
    <t>Labor obligations</t>
  </si>
  <si>
    <t>Provision for tax, civil and labor risks</t>
  </si>
  <si>
    <t>Provision for decommissioning of mine</t>
  </si>
  <si>
    <t>Provision for investment losses</t>
  </si>
  <si>
    <t>Other non-current liabilities</t>
  </si>
  <si>
    <t>Equity attributable to controlling shareholders</t>
  </si>
  <si>
    <t>Shere Capital</t>
  </si>
  <si>
    <t>Capital reserve</t>
  </si>
  <si>
    <t>Treasury shares</t>
  </si>
  <si>
    <t>Accumulated loss</t>
  </si>
  <si>
    <t>Lucro/Prejuízos acumulados</t>
  </si>
  <si>
    <t>Accumulated profit/loss</t>
  </si>
  <si>
    <t>Other comprehensive income</t>
  </si>
  <si>
    <t>Period losses</t>
  </si>
  <si>
    <t>Profit reserves</t>
  </si>
  <si>
    <t>Equity attributable to controlling interests</t>
  </si>
  <si>
    <t>Noncontrolling interests</t>
  </si>
  <si>
    <t>Total liablities and equity</t>
  </si>
  <si>
    <t>Operating Performance</t>
  </si>
  <si>
    <t>Fiber-cement Segment</t>
  </si>
  <si>
    <t>Construction Systems Sales (t)</t>
  </si>
  <si>
    <t>Net revenues - R$ thousand</t>
  </si>
  <si>
    <t>Gross profit - R$ thousand</t>
  </si>
  <si>
    <t>Gross margin - R$ thousand</t>
  </si>
  <si>
    <t>Chrysotile Mineral Segment</t>
  </si>
  <si>
    <t>Fiber-cement tile sales (t)</t>
  </si>
  <si>
    <t>Chrysotile Mineral tile sales (t)</t>
  </si>
  <si>
    <t>DRE Eternit S. A. Consolidado (em R$ mil)</t>
  </si>
  <si>
    <t>Receitas (despesas) operacionais¹</t>
  </si>
  <si>
    <t>Gerais e administrativas²</t>
  </si>
  <si>
    <t>EBITDA recorrente</t>
  </si>
  <si>
    <t>Margem EBITD recorrente</t>
  </si>
  <si>
    <t>Operating income (expenses) before equity pickup (EBIT*)</t>
  </si>
  <si>
    <t>Lucro (prejuízo) antes do resultado financeiro (EBIT**)</t>
  </si>
  <si>
    <t>Operating income (expenses) before financial expenses (EBIT**)</t>
  </si>
  <si>
    <t>Lucro (prejuízo) antes da equivalência patrimonial (EBIT*)</t>
  </si>
  <si>
    <t>(*) Adjusted EBIT due to the result of the joint venture Companhia Sulamerica de Cerâmica</t>
  </si>
  <si>
    <t>Notas de rodapé</t>
  </si>
  <si>
    <r>
      <t>(*) EBIT ajustado por conta do resultado da</t>
    </r>
    <r>
      <rPr>
        <i/>
        <sz val="10"/>
        <rFont val="Montserrat"/>
      </rPr>
      <t xml:space="preserve"> joint-venture </t>
    </r>
    <r>
      <rPr>
        <sz val="10"/>
        <rFont val="Montserrat"/>
      </rPr>
      <t>Companhia Sulamerica de Cerâmica</t>
    </r>
  </si>
  <si>
    <r>
      <t>Idioma/</t>
    </r>
    <r>
      <rPr>
        <i/>
        <sz val="14"/>
        <color rgb="FF333333"/>
        <rFont val="Roboto"/>
      </rPr>
      <t>Language</t>
    </r>
    <r>
      <rPr>
        <sz val="14"/>
        <color rgb="FF333333"/>
        <rFont val="Roboto"/>
      </rPr>
      <t>:</t>
    </r>
  </si>
  <si>
    <t>Demonstração do Fluxo de Caixa - Eternit S.A</t>
  </si>
  <si>
    <t>Fluxo de caixa atividades operacionais</t>
  </si>
  <si>
    <t>Concrete Roofing Tiles Segment</t>
  </si>
  <si>
    <t>Concrete Tiles Sakes (thousand pieces)</t>
  </si>
  <si>
    <t>General and administrative expenses²</t>
  </si>
  <si>
    <t>Operating income (expenses)¹</t>
  </si>
  <si>
    <t>Ajustes para conciliar o lucro antes do imposto de renda e da contribuição social com o caixa líquido gerado pelas atividades operacionais:</t>
  </si>
  <si>
    <t>Depreciação e amortização</t>
  </si>
  <si>
    <t>Resultado na baixa de ativos imobilizados e intangíveis</t>
  </si>
  <si>
    <t>Perdas esperadas com créditos de liquidação duvidosa sobre as contas a recebe</t>
  </si>
  <si>
    <t>Perda estimada para redução ao valor recuperável</t>
  </si>
  <si>
    <t>(**) EBIT ajustado por conta do resultado da joint venture Companhia Sulamerica de Cerâmica e eventos não
recorrentes.</t>
  </si>
  <si>
    <t>(**) Adjusted EBIT due to the result of the joint venture Companhia Sulamerica de Cerâmica and non-recurring
events.</t>
  </si>
  <si>
    <t>² A partir do 2T17:  Contempla a rubrica de Remuneração da Administração</t>
  </si>
  <si>
    <t>¹ A partir do 2T17 até 1T21:  Não contempla equivalência patrimonial que é apresentada separadamente do total de receitas (despesas) operacionais</t>
  </si>
  <si>
    <t>²A partir do 2T17 até 1T21:  Contempla a rubrica de Remuneração da Administração</t>
  </si>
  <si>
    <t>¹From 2Q17 until 1Q21:It does not include equity pickup , presented separately from total operating income (expenses)</t>
  </si>
  <si>
    <t xml:space="preserve">²From 2Q17 until 1Q21: Includes Management Compensation.
</t>
  </si>
  <si>
    <t>Costs of goods and services sold</t>
  </si>
  <si>
    <t>Português</t>
  </si>
  <si>
    <t>Recebíveis de alienação de imovéis</t>
  </si>
  <si>
    <t>Margem EBITDA recorrente</t>
  </si>
  <si>
    <t>3T24</t>
  </si>
  <si>
    <t>3Q24</t>
  </si>
  <si>
    <t>9M24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</si>
</sst>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_-;\-* #,##0_-;_-* &quot;-&quot;??_-;_-@_-"/>
    <numFmt numFmtId="165" formatCode="#,##0;\(#,##0\);&quot;-&quot;"/>
    <numFmt numFmtId="166" formatCode="#,##0.00;\(#,##0.00\);&quot;-&quot;"/>
    <numFmt numFmtId="167" formatCode="_(* #,##0.00_);_(* \(#,##0.00\);_(* &quot;-&quot;??_);_(@_)"/>
    <numFmt numFmtId="168" formatCode="0E+00"/>
    <numFmt numFmtId="169" formatCode="0_ ;\-0\ 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333333"/>
      <name val="Montserrat"/>
    </font>
    <font>
      <sz val="10"/>
      <color rgb="FF333333"/>
      <name val="Montserrat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rgb="FFE6E6E6"/>
      <name val="Roboto"/>
    </font>
    <font>
      <b/>
      <sz val="10"/>
      <color rgb="FF333333"/>
      <name val="Roboto"/>
    </font>
    <font>
      <sz val="10"/>
      <color rgb="FF333333"/>
      <name val="Roboto"/>
    </font>
    <font>
      <b/>
      <sz val="11"/>
      <color rgb="FFE6E6E6"/>
      <name val="Roboto"/>
    </font>
    <font>
      <b/>
      <sz val="10"/>
      <color theme="0"/>
      <name val="Montserrat"/>
    </font>
    <font>
      <b/>
      <sz val="10"/>
      <name val="Montserrat"/>
    </font>
    <font>
      <sz val="10"/>
      <name val="Montserrat"/>
    </font>
    <font>
      <sz val="10"/>
      <color theme="0"/>
      <name val="Roboto"/>
    </font>
    <font>
      <sz val="10"/>
      <name val="Arial"/>
      <family val="2"/>
    </font>
    <font>
      <sz val="10"/>
      <color theme="1"/>
      <name val="Roboto"/>
    </font>
    <font>
      <i/>
      <sz val="10"/>
      <name val="Montserrat"/>
    </font>
    <font>
      <b/>
      <sz val="14"/>
      <color rgb="FF333333"/>
      <name val="Roboto"/>
    </font>
    <font>
      <sz val="14"/>
      <color theme="1"/>
      <name val="Calibri"/>
      <family val="2"/>
      <scheme val="minor"/>
    </font>
    <font>
      <sz val="14"/>
      <color rgb="FF333333"/>
      <name val="Roboto"/>
    </font>
    <font>
      <b/>
      <sz val="18"/>
      <color rgb="FF333333"/>
      <name val="Roboto"/>
    </font>
    <font>
      <b/>
      <i/>
      <sz val="18"/>
      <color rgb="FF333333"/>
      <name val="Montserrat"/>
    </font>
    <font>
      <sz val="14"/>
      <color theme="1"/>
      <name val="Roboto"/>
    </font>
    <font>
      <b/>
      <sz val="14"/>
      <color theme="0"/>
      <name val="Roboto"/>
    </font>
    <font>
      <i/>
      <sz val="14"/>
      <color rgb="FF333333"/>
      <name val="Roboto"/>
    </font>
    <font>
      <b/>
      <sz val="12"/>
      <color rgb="FFE6E6E6"/>
      <name val="Roboto"/>
    </font>
    <font>
      <sz val="11"/>
      <color theme="0"/>
      <name val="Calibri"/>
      <family val="2"/>
      <scheme val="minor"/>
    </font>
    <font>
      <b/>
      <sz val="12"/>
      <color theme="0"/>
      <name val="Roboto"/>
    </font>
    <font>
      <b/>
      <sz val="10"/>
      <color theme="1" tint="0.14999847407452621"/>
      <name val="Roboto"/>
    </font>
    <font>
      <sz val="10"/>
      <color theme="1" tint="0.14999847407452621"/>
      <name val="Roboto"/>
    </font>
    <font>
      <b/>
      <i/>
      <sz val="10"/>
      <color theme="1" tint="0.14999847407452621"/>
      <name val="Roboto"/>
    </font>
    <font>
      <sz val="12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167" fontId="14" fillId="0" borderId="0" applyFont="0" applyFill="0" applyBorder="0" applyAlignment="0" applyProtection="0"/>
  </cellStyleXfs>
  <cellXfs count="166">
    <xf numFmtId="0" fontId="0" fillId="0" borderId="0" xfId="0"/>
    <xf numFmtId="165" fontId="2" fillId="0" borderId="10" xfId="1" applyNumberFormat="1" applyFont="1" applyFill="1" applyBorder="1" applyAlignment="1">
      <alignment horizontal="right" vertical="center" wrapText="1"/>
    </xf>
    <xf numFmtId="165" fontId="3" fillId="0" borderId="10" xfId="1" applyNumberFormat="1" applyFont="1" applyFill="1" applyBorder="1" applyAlignment="1">
      <alignment horizontal="right" vertical="center" wrapText="1"/>
    </xf>
    <xf numFmtId="3" fontId="0" fillId="0" borderId="0" xfId="0" applyNumberFormat="1"/>
    <xf numFmtId="3" fontId="0" fillId="0" borderId="0" xfId="0" applyNumberFormat="1" applyFill="1"/>
    <xf numFmtId="164" fontId="6" fillId="2" borderId="1" xfId="1" applyNumberFormat="1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right" vertical="center" wrapText="1"/>
    </xf>
    <xf numFmtId="165" fontId="7" fillId="0" borderId="6" xfId="1" applyNumberFormat="1" applyFont="1" applyFill="1" applyBorder="1" applyAlignment="1">
      <alignment horizontal="right" vertical="center" wrapText="1"/>
    </xf>
    <xf numFmtId="165" fontId="7" fillId="0" borderId="2" xfId="1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165" fontId="8" fillId="0" borderId="5" xfId="1" applyNumberFormat="1" applyFont="1" applyFill="1" applyBorder="1" applyAlignment="1">
      <alignment horizontal="right" vertical="center" wrapText="1"/>
    </xf>
    <xf numFmtId="165" fontId="8" fillId="0" borderId="1" xfId="1" applyNumberFormat="1" applyFont="1" applyFill="1" applyBorder="1" applyAlignment="1">
      <alignment horizontal="right" vertical="center" wrapText="1"/>
    </xf>
    <xf numFmtId="165" fontId="8" fillId="0" borderId="6" xfId="1" applyNumberFormat="1" applyFont="1" applyFill="1" applyBorder="1" applyAlignment="1">
      <alignment horizontal="right" vertical="center" wrapText="1"/>
    </xf>
    <xf numFmtId="165" fontId="8" fillId="0" borderId="2" xfId="1" applyNumberFormat="1" applyFont="1" applyFill="1" applyBorder="1" applyAlignment="1">
      <alignment horizontal="right" vertical="center" wrapText="1"/>
    </xf>
    <xf numFmtId="165" fontId="8" fillId="0" borderId="16" xfId="1" applyNumberFormat="1" applyFont="1" applyFill="1" applyBorder="1" applyAlignment="1">
      <alignment horizontal="right" vertical="center" wrapText="1"/>
    </xf>
    <xf numFmtId="165" fontId="8" fillId="0" borderId="3" xfId="1" applyNumberFormat="1" applyFont="1" applyFill="1" applyBorder="1" applyAlignment="1">
      <alignment horizontal="right" vertical="center" wrapText="1"/>
    </xf>
    <xf numFmtId="165" fontId="7" fillId="0" borderId="17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166" fontId="8" fillId="0" borderId="2" xfId="1" applyNumberFormat="1" applyFont="1" applyFill="1" applyBorder="1" applyAlignment="1">
      <alignment horizontal="right" vertical="center" wrapText="1"/>
    </xf>
    <xf numFmtId="165" fontId="8" fillId="0" borderId="12" xfId="1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Fill="1"/>
    <xf numFmtId="165" fontId="7" fillId="2" borderId="5" xfId="1" applyNumberFormat="1" applyFont="1" applyFill="1" applyBorder="1" applyAlignment="1">
      <alignment horizontal="right" vertical="center" wrapText="1"/>
    </xf>
    <xf numFmtId="165" fontId="7" fillId="2" borderId="1" xfId="1" applyNumberFormat="1" applyFont="1" applyFill="1" applyBorder="1" applyAlignment="1">
      <alignment horizontal="right" vertical="center" wrapText="1"/>
    </xf>
    <xf numFmtId="165" fontId="7" fillId="2" borderId="6" xfId="1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0" fontId="8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6" fillId="0" borderId="5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4" fontId="6" fillId="0" borderId="6" xfId="1" applyNumberFormat="1" applyFont="1" applyFill="1" applyBorder="1" applyAlignment="1">
      <alignment horizontal="center" vertical="center" wrapText="1"/>
    </xf>
    <xf numFmtId="164" fontId="6" fillId="0" borderId="3" xfId="1" applyNumberFormat="1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left" wrapText="1"/>
    </xf>
    <xf numFmtId="0" fontId="10" fillId="2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left" wrapText="1"/>
    </xf>
    <xf numFmtId="164" fontId="13" fillId="0" borderId="14" xfId="1" applyNumberFormat="1" applyFont="1" applyFill="1" applyBorder="1" applyAlignment="1">
      <alignment horizontal="center" vertical="center" wrapText="1"/>
    </xf>
    <xf numFmtId="165" fontId="7" fillId="0" borderId="11" xfId="1" applyNumberFormat="1" applyFont="1" applyFill="1" applyBorder="1" applyAlignment="1">
      <alignment horizontal="right" vertical="center" wrapText="1"/>
    </xf>
    <xf numFmtId="165" fontId="8" fillId="0" borderId="17" xfId="1" applyNumberFormat="1" applyFont="1" applyFill="1" applyBorder="1" applyAlignment="1">
      <alignment horizontal="right" vertical="center" wrapText="1"/>
    </xf>
    <xf numFmtId="165" fontId="7" fillId="0" borderId="22" xfId="1" applyNumberFormat="1" applyFont="1" applyFill="1" applyBorder="1" applyAlignment="1">
      <alignment horizontal="right" vertical="center" wrapText="1"/>
    </xf>
    <xf numFmtId="165" fontId="7" fillId="0" borderId="12" xfId="1" applyNumberFormat="1" applyFont="1" applyFill="1" applyBorder="1" applyAlignment="1">
      <alignment horizontal="right" vertical="center" wrapText="1"/>
    </xf>
    <xf numFmtId="165" fontId="8" fillId="0" borderId="4" xfId="1" applyNumberFormat="1" applyFont="1" applyFill="1" applyBorder="1" applyAlignment="1">
      <alignment horizontal="right" vertical="center" wrapText="1"/>
    </xf>
    <xf numFmtId="164" fontId="13" fillId="0" borderId="0" xfId="1" applyNumberFormat="1" applyFont="1" applyFill="1" applyBorder="1" applyAlignment="1">
      <alignment horizontal="center" vertical="center" wrapText="1"/>
    </xf>
    <xf numFmtId="165" fontId="7" fillId="2" borderId="3" xfId="1" applyNumberFormat="1" applyFont="1" applyFill="1" applyBorder="1" applyAlignment="1">
      <alignment horizontal="right" vertical="center" wrapText="1"/>
    </xf>
    <xf numFmtId="165" fontId="7" fillId="0" borderId="23" xfId="1" applyNumberFormat="1" applyFont="1" applyFill="1" applyBorder="1" applyAlignment="1">
      <alignment horizontal="right" vertical="center" wrapText="1"/>
    </xf>
    <xf numFmtId="165" fontId="8" fillId="0" borderId="23" xfId="1" applyNumberFormat="1" applyFont="1" applyFill="1" applyBorder="1" applyAlignment="1">
      <alignment horizontal="right" vertical="center" wrapText="1"/>
    </xf>
    <xf numFmtId="165" fontId="8" fillId="0" borderId="14" xfId="1" applyNumberFormat="1" applyFont="1" applyFill="1" applyBorder="1" applyAlignment="1">
      <alignment horizontal="right" vertical="center" wrapText="1"/>
    </xf>
    <xf numFmtId="165" fontId="7" fillId="2" borderId="17" xfId="1" applyNumberFormat="1" applyFont="1" applyFill="1" applyBorder="1" applyAlignment="1">
      <alignment horizontal="right" vertical="center" wrapText="1"/>
    </xf>
    <xf numFmtId="165" fontId="7" fillId="0" borderId="13" xfId="1" applyNumberFormat="1" applyFont="1" applyFill="1" applyBorder="1" applyAlignment="1">
      <alignment horizontal="right" vertical="center" wrapText="1"/>
    </xf>
    <xf numFmtId="165" fontId="8" fillId="0" borderId="13" xfId="1" applyNumberFormat="1" applyFont="1" applyFill="1" applyBorder="1" applyAlignment="1">
      <alignment horizontal="right" vertical="center" wrapText="1"/>
    </xf>
    <xf numFmtId="165" fontId="8" fillId="0" borderId="15" xfId="1" applyNumberFormat="1" applyFont="1" applyFill="1" applyBorder="1" applyAlignment="1">
      <alignment horizontal="right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0" xfId="0" applyFont="1" applyFill="1"/>
    <xf numFmtId="165" fontId="8" fillId="0" borderId="19" xfId="1" applyNumberFormat="1" applyFont="1" applyFill="1" applyBorder="1" applyAlignment="1">
      <alignment horizontal="right" vertical="center" wrapText="1"/>
    </xf>
    <xf numFmtId="3" fontId="15" fillId="0" borderId="0" xfId="0" applyNumberFormat="1" applyFont="1"/>
    <xf numFmtId="165" fontId="15" fillId="0" borderId="0" xfId="0" applyNumberFormat="1" applyFont="1"/>
    <xf numFmtId="9" fontId="8" fillId="0" borderId="1" xfId="1" applyNumberFormat="1" applyFont="1" applyFill="1" applyBorder="1" applyAlignment="1">
      <alignment horizontal="right" vertical="center" wrapText="1"/>
    </xf>
    <xf numFmtId="9" fontId="8" fillId="0" borderId="19" xfId="1" applyNumberFormat="1" applyFont="1" applyFill="1" applyBorder="1" applyAlignment="1">
      <alignment horizontal="right" vertical="center" wrapText="1"/>
    </xf>
    <xf numFmtId="9" fontId="8" fillId="0" borderId="5" xfId="1" applyNumberFormat="1" applyFont="1" applyFill="1" applyBorder="1" applyAlignment="1">
      <alignment horizontal="right" vertical="center" wrapText="1"/>
    </xf>
    <xf numFmtId="9" fontId="8" fillId="0" borderId="6" xfId="1" applyNumberFormat="1" applyFont="1" applyFill="1" applyBorder="1" applyAlignment="1">
      <alignment horizontal="right" vertical="center" wrapText="1"/>
    </xf>
    <xf numFmtId="20" fontId="15" fillId="0" borderId="0" xfId="0" applyNumberFormat="1" applyFont="1"/>
    <xf numFmtId="9" fontId="8" fillId="0" borderId="3" xfId="1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left" wrapText="1"/>
    </xf>
    <xf numFmtId="0" fontId="12" fillId="3" borderId="25" xfId="0" applyFont="1" applyFill="1" applyBorder="1" applyAlignment="1">
      <alignment horizontal="left" wrapText="1"/>
    </xf>
    <xf numFmtId="0" fontId="12" fillId="3" borderId="27" xfId="0" applyFont="1" applyFill="1" applyBorder="1" applyAlignment="1">
      <alignment horizontal="left" wrapText="1"/>
    </xf>
    <xf numFmtId="0" fontId="12" fillId="3" borderId="26" xfId="0" applyFont="1" applyFill="1" applyBorder="1" applyAlignment="1">
      <alignment horizontal="left" wrapText="1"/>
    </xf>
    <xf numFmtId="168" fontId="0" fillId="0" borderId="0" xfId="0" applyNumberFormat="1"/>
    <xf numFmtId="0" fontId="11" fillId="3" borderId="26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9" fontId="6" fillId="2" borderId="2" xfId="2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left" wrapText="1"/>
    </xf>
    <xf numFmtId="0" fontId="18" fillId="0" borderId="0" xfId="0" applyFont="1"/>
    <xf numFmtId="0" fontId="17" fillId="0" borderId="0" xfId="0" applyFont="1" applyAlignment="1">
      <alignment horizontal="left" vertical="center"/>
    </xf>
    <xf numFmtId="0" fontId="19" fillId="0" borderId="0" xfId="0" applyFont="1"/>
    <xf numFmtId="0" fontId="20" fillId="0" borderId="0" xfId="0" applyFont="1" applyAlignment="1">
      <alignment horizontal="left" vertical="center"/>
    </xf>
    <xf numFmtId="0" fontId="21" fillId="0" borderId="0" xfId="0" applyFont="1"/>
    <xf numFmtId="0" fontId="22" fillId="4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4" fillId="0" borderId="0" xfId="0" applyFont="1"/>
    <xf numFmtId="0" fontId="6" fillId="2" borderId="6" xfId="0" applyFont="1" applyFill="1" applyBorder="1" applyAlignment="1">
      <alignment horizontal="left" vertical="center" wrapText="1"/>
    </xf>
    <xf numFmtId="165" fontId="8" fillId="2" borderId="3" xfId="1" applyNumberFormat="1" applyFont="1" applyFill="1" applyBorder="1" applyAlignment="1">
      <alignment horizontal="right" vertical="center" wrapText="1"/>
    </xf>
    <xf numFmtId="165" fontId="8" fillId="2" borderId="1" xfId="1" applyNumberFormat="1" applyFont="1" applyFill="1" applyBorder="1" applyAlignment="1">
      <alignment horizontal="right" vertical="center" wrapText="1"/>
    </xf>
    <xf numFmtId="165" fontId="8" fillId="2" borderId="6" xfId="1" applyNumberFormat="1" applyFont="1" applyFill="1" applyBorder="1" applyAlignment="1">
      <alignment horizontal="right" vertical="center" wrapText="1"/>
    </xf>
    <xf numFmtId="165" fontId="8" fillId="2" borderId="5" xfId="1" applyNumberFormat="1" applyFont="1" applyFill="1" applyBorder="1" applyAlignment="1">
      <alignment horizontal="right" vertical="center" wrapText="1"/>
    </xf>
    <xf numFmtId="165" fontId="8" fillId="2" borderId="19" xfId="1" applyNumberFormat="1" applyFont="1" applyFill="1" applyBorder="1" applyAlignment="1">
      <alignment horizontal="right" vertical="center" wrapText="1"/>
    </xf>
    <xf numFmtId="164" fontId="6" fillId="0" borderId="19" xfId="1" applyNumberFormat="1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164" fontId="25" fillId="2" borderId="2" xfId="1" applyNumberFormat="1" applyFont="1" applyFill="1" applyBorder="1" applyAlignment="1">
      <alignment horizontal="center" vertical="center" wrapText="1"/>
    </xf>
    <xf numFmtId="164" fontId="25" fillId="2" borderId="1" xfId="1" applyNumberFormat="1" applyFont="1" applyFill="1" applyBorder="1" applyAlignment="1">
      <alignment horizontal="center" vertical="center" wrapText="1"/>
    </xf>
    <xf numFmtId="164" fontId="25" fillId="2" borderId="14" xfId="1" applyNumberFormat="1" applyFont="1" applyFill="1" applyBorder="1" applyAlignment="1">
      <alignment horizontal="center" vertical="center" wrapText="1"/>
    </xf>
    <xf numFmtId="164" fontId="25" fillId="2" borderId="6" xfId="1" applyNumberFormat="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 applyProtection="1">
      <alignment horizontal="left" vertical="center" wrapText="1"/>
    </xf>
    <xf numFmtId="0" fontId="29" fillId="0" borderId="2" xfId="0" applyFont="1" applyFill="1" applyBorder="1" applyAlignment="1">
      <alignment horizontal="left" vertical="center" wrapText="1" indent="1"/>
    </xf>
    <xf numFmtId="0" fontId="28" fillId="0" borderId="2" xfId="0" applyFont="1" applyFill="1" applyBorder="1" applyAlignment="1">
      <alignment horizontal="left" vertical="center" wrapText="1"/>
    </xf>
    <xf numFmtId="0" fontId="26" fillId="0" borderId="0" xfId="0" applyFont="1"/>
    <xf numFmtId="164" fontId="27" fillId="2" borderId="1" xfId="1" applyNumberFormat="1" applyFont="1" applyFill="1" applyBorder="1" applyAlignment="1">
      <alignment horizontal="center" vertical="center" wrapText="1"/>
    </xf>
    <xf numFmtId="164" fontId="27" fillId="2" borderId="6" xfId="1" applyNumberFormat="1" applyFont="1" applyFill="1" applyBorder="1" applyAlignment="1">
      <alignment horizontal="center" vertical="center" wrapText="1"/>
    </xf>
    <xf numFmtId="164" fontId="27" fillId="2" borderId="3" xfId="1" applyNumberFormat="1" applyFont="1" applyFill="1" applyBorder="1" applyAlignment="1">
      <alignment horizontal="center" vertical="center" wrapText="1"/>
    </xf>
    <xf numFmtId="165" fontId="28" fillId="0" borderId="5" xfId="1" applyNumberFormat="1" applyFont="1" applyFill="1" applyBorder="1" applyAlignment="1">
      <alignment horizontal="right" vertical="center" wrapText="1"/>
    </xf>
    <xf numFmtId="165" fontId="28" fillId="0" borderId="1" xfId="1" applyNumberFormat="1" applyFont="1" applyFill="1" applyBorder="1" applyAlignment="1">
      <alignment horizontal="right" vertical="center" wrapText="1"/>
    </xf>
    <xf numFmtId="165" fontId="28" fillId="0" borderId="6" xfId="1" applyNumberFormat="1" applyFont="1" applyFill="1" applyBorder="1" applyAlignment="1">
      <alignment horizontal="right" vertical="center" wrapText="1"/>
    </xf>
    <xf numFmtId="165" fontId="28" fillId="0" borderId="3" xfId="1" applyNumberFormat="1" applyFont="1" applyFill="1" applyBorder="1" applyAlignment="1">
      <alignment horizontal="right" vertical="center" wrapText="1"/>
    </xf>
    <xf numFmtId="165" fontId="29" fillId="0" borderId="5" xfId="1" applyNumberFormat="1" applyFont="1" applyFill="1" applyBorder="1" applyAlignment="1">
      <alignment horizontal="right" vertical="center" wrapText="1"/>
    </xf>
    <xf numFmtId="165" fontId="29" fillId="0" borderId="1" xfId="1" applyNumberFormat="1" applyFont="1" applyFill="1" applyBorder="1" applyAlignment="1">
      <alignment horizontal="right" vertical="center" wrapText="1"/>
    </xf>
    <xf numFmtId="165" fontId="29" fillId="0" borderId="6" xfId="1" applyNumberFormat="1" applyFont="1" applyFill="1" applyBorder="1" applyAlignment="1">
      <alignment horizontal="right" vertical="center" wrapText="1"/>
    </xf>
    <xf numFmtId="0" fontId="30" fillId="0" borderId="17" xfId="0" applyFont="1" applyFill="1" applyBorder="1" applyAlignment="1">
      <alignment horizontal="left" vertical="center" wrapText="1"/>
    </xf>
    <xf numFmtId="9" fontId="28" fillId="0" borderId="5" xfId="2" applyNumberFormat="1" applyFont="1" applyFill="1" applyBorder="1" applyAlignment="1">
      <alignment horizontal="right" vertical="center" wrapText="1"/>
    </xf>
    <xf numFmtId="9" fontId="28" fillId="0" borderId="1" xfId="2" applyNumberFormat="1" applyFont="1" applyFill="1" applyBorder="1" applyAlignment="1">
      <alignment horizontal="right" vertical="center" wrapText="1"/>
    </xf>
    <xf numFmtId="9" fontId="28" fillId="0" borderId="6" xfId="2" applyNumberFormat="1" applyFont="1" applyFill="1" applyBorder="1" applyAlignment="1">
      <alignment horizontal="right" vertical="center" wrapText="1"/>
    </xf>
    <xf numFmtId="3" fontId="29" fillId="0" borderId="0" xfId="0" applyNumberFormat="1" applyFont="1"/>
    <xf numFmtId="9" fontId="28" fillId="0" borderId="2" xfId="2" applyNumberFormat="1" applyFont="1" applyFill="1" applyBorder="1" applyAlignment="1">
      <alignment horizontal="right" vertical="center" wrapText="1"/>
    </xf>
    <xf numFmtId="0" fontId="30" fillId="0" borderId="2" xfId="0" applyFont="1" applyFill="1" applyBorder="1" applyAlignment="1">
      <alignment horizontal="left" vertical="center" wrapText="1"/>
    </xf>
    <xf numFmtId="166" fontId="29" fillId="0" borderId="5" xfId="1" applyNumberFormat="1" applyFont="1" applyFill="1" applyBorder="1" applyAlignment="1">
      <alignment horizontal="right" vertical="center" wrapText="1"/>
    </xf>
    <xf numFmtId="166" fontId="29" fillId="0" borderId="1" xfId="1" applyNumberFormat="1" applyFont="1" applyFill="1" applyBorder="1" applyAlignment="1">
      <alignment horizontal="right" vertical="center" wrapText="1"/>
    </xf>
    <xf numFmtId="166" fontId="29" fillId="0" borderId="6" xfId="1" applyNumberFormat="1" applyFont="1" applyFill="1" applyBorder="1" applyAlignment="1">
      <alignment horizontal="right" vertical="center" wrapText="1"/>
    </xf>
    <xf numFmtId="9" fontId="28" fillId="0" borderId="7" xfId="2" applyNumberFormat="1" applyFont="1" applyFill="1" applyBorder="1" applyAlignment="1">
      <alignment horizontal="right" vertical="center" wrapText="1"/>
    </xf>
    <xf numFmtId="9" fontId="28" fillId="0" borderId="8" xfId="2" applyNumberFormat="1" applyFont="1" applyFill="1" applyBorder="1" applyAlignment="1">
      <alignment horizontal="right" vertical="center" wrapText="1"/>
    </xf>
    <xf numFmtId="9" fontId="28" fillId="0" borderId="9" xfId="2" applyNumberFormat="1" applyFont="1" applyFill="1" applyBorder="1" applyAlignment="1">
      <alignment horizontal="right" vertical="center" wrapText="1"/>
    </xf>
    <xf numFmtId="20" fontId="0" fillId="0" borderId="0" xfId="0" applyNumberFormat="1"/>
    <xf numFmtId="9" fontId="28" fillId="0" borderId="32" xfId="2" applyFont="1" applyFill="1" applyBorder="1" applyAlignment="1">
      <alignment horizontal="right" vertical="center" wrapText="1"/>
    </xf>
    <xf numFmtId="9" fontId="28" fillId="0" borderId="5" xfId="1" applyNumberFormat="1" applyFont="1" applyFill="1" applyBorder="1" applyAlignment="1">
      <alignment horizontal="right" vertical="center" wrapText="1"/>
    </xf>
    <xf numFmtId="9" fontId="28" fillId="0" borderId="31" xfId="2" applyFont="1" applyFill="1" applyBorder="1" applyAlignment="1">
      <alignment horizontal="right" vertical="center" wrapText="1"/>
    </xf>
    <xf numFmtId="165" fontId="7" fillId="0" borderId="3" xfId="1" applyNumberFormat="1" applyFont="1" applyFill="1" applyBorder="1" applyAlignment="1">
      <alignment horizontal="right" vertical="center" wrapText="1"/>
    </xf>
    <xf numFmtId="165" fontId="7" fillId="0" borderId="5" xfId="1" applyNumberFormat="1" applyFont="1" applyFill="1" applyBorder="1" applyAlignment="1">
      <alignment horizontal="right" vertical="center" wrapText="1"/>
    </xf>
    <xf numFmtId="9" fontId="7" fillId="0" borderId="1" xfId="2" applyNumberFormat="1" applyFont="1" applyFill="1" applyBorder="1" applyAlignment="1">
      <alignment horizontal="right" vertical="center" wrapText="1"/>
    </xf>
    <xf numFmtId="9" fontId="7" fillId="0" borderId="2" xfId="2" applyNumberFormat="1" applyFont="1" applyFill="1" applyBorder="1" applyAlignment="1">
      <alignment horizontal="right" vertical="center" wrapText="1"/>
    </xf>
    <xf numFmtId="9" fontId="7" fillId="0" borderId="5" xfId="2" applyNumberFormat="1" applyFont="1" applyFill="1" applyBorder="1" applyAlignment="1">
      <alignment horizontal="right" vertical="center" wrapText="1"/>
    </xf>
    <xf numFmtId="9" fontId="7" fillId="0" borderId="6" xfId="2" applyNumberFormat="1" applyFont="1" applyFill="1" applyBorder="1" applyAlignment="1">
      <alignment horizontal="right" vertical="center" wrapText="1"/>
    </xf>
    <xf numFmtId="165" fontId="7" fillId="0" borderId="19" xfId="1" applyNumberFormat="1" applyFont="1" applyFill="1" applyBorder="1" applyAlignment="1">
      <alignment horizontal="right" vertical="center" wrapText="1"/>
    </xf>
    <xf numFmtId="9" fontId="28" fillId="0" borderId="1" xfId="1" applyNumberFormat="1" applyFont="1" applyFill="1" applyBorder="1" applyAlignment="1">
      <alignment horizontal="right" vertical="center" wrapText="1"/>
    </xf>
    <xf numFmtId="9" fontId="7" fillId="0" borderId="5" xfId="2" applyFont="1" applyFill="1" applyBorder="1" applyAlignment="1">
      <alignment horizontal="right" vertical="center" wrapText="1"/>
    </xf>
    <xf numFmtId="9" fontId="7" fillId="0" borderId="8" xfId="2" applyNumberFormat="1" applyFont="1" applyFill="1" applyBorder="1" applyAlignment="1">
      <alignment horizontal="right" vertical="center" wrapText="1"/>
    </xf>
    <xf numFmtId="9" fontId="7" fillId="0" borderId="18" xfId="2" applyNumberFormat="1" applyFont="1" applyFill="1" applyBorder="1" applyAlignment="1">
      <alignment horizontal="right" vertical="center" wrapText="1"/>
    </xf>
    <xf numFmtId="9" fontId="28" fillId="0" borderId="6" xfId="1" applyNumberFormat="1" applyFont="1" applyFill="1" applyBorder="1" applyAlignment="1">
      <alignment horizontal="right" vertical="center" wrapText="1"/>
    </xf>
    <xf numFmtId="0" fontId="28" fillId="0" borderId="2" xfId="0" applyFont="1" applyFill="1" applyBorder="1" applyAlignment="1">
      <alignment horizontal="left" vertical="center" wrapText="1" indent="1"/>
    </xf>
    <xf numFmtId="9" fontId="2" fillId="0" borderId="10" xfId="2" applyFont="1" applyFill="1" applyBorder="1" applyAlignment="1">
      <alignment horizontal="right" vertical="center" wrapText="1"/>
    </xf>
    <xf numFmtId="169" fontId="27" fillId="2" borderId="1" xfId="1" applyNumberFormat="1" applyFont="1" applyFill="1" applyBorder="1" applyAlignment="1">
      <alignment horizontal="center" vertical="center" wrapText="1"/>
    </xf>
    <xf numFmtId="164" fontId="25" fillId="2" borderId="5" xfId="1" applyNumberFormat="1" applyFont="1" applyFill="1" applyBorder="1" applyAlignment="1">
      <alignment horizontal="center" vertical="center" wrapText="1"/>
    </xf>
    <xf numFmtId="165" fontId="8" fillId="0" borderId="11" xfId="1" applyNumberFormat="1" applyFont="1" applyFill="1" applyBorder="1" applyAlignment="1">
      <alignment horizontal="right" vertical="center" wrapText="1"/>
    </xf>
    <xf numFmtId="165" fontId="8" fillId="0" borderId="33" xfId="1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left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166" fontId="3" fillId="0" borderId="10" xfId="1" applyNumberFormat="1" applyFont="1" applyFill="1" applyBorder="1" applyAlignment="1">
      <alignment horizontal="right" vertical="center" wrapText="1"/>
    </xf>
    <xf numFmtId="165" fontId="29" fillId="0" borderId="3" xfId="1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/>
    <xf numFmtId="165" fontId="15" fillId="0" borderId="0" xfId="0" applyNumberFormat="1" applyFont="1" applyFill="1"/>
    <xf numFmtId="9" fontId="8" fillId="0" borderId="17" xfId="1" applyNumberFormat="1" applyFont="1" applyFill="1" applyBorder="1" applyAlignment="1">
      <alignment horizontal="right" vertical="center" wrapText="1"/>
    </xf>
    <xf numFmtId="9" fontId="8" fillId="0" borderId="1" xfId="2" applyFont="1" applyFill="1" applyBorder="1" applyAlignment="1">
      <alignment horizontal="right" vertical="center" wrapText="1"/>
    </xf>
    <xf numFmtId="9" fontId="8" fillId="0" borderId="2" xfId="1" applyNumberFormat="1" applyFont="1" applyFill="1" applyBorder="1" applyAlignment="1">
      <alignment horizontal="right" vertical="center" wrapText="1"/>
    </xf>
    <xf numFmtId="164" fontId="25" fillId="2" borderId="3" xfId="1" applyNumberFormat="1" applyFont="1" applyFill="1" applyBorder="1" applyAlignment="1">
      <alignment horizontal="center" vertical="center" wrapText="1"/>
    </xf>
    <xf numFmtId="0" fontId="31" fillId="0" borderId="0" xfId="0" applyFont="1"/>
    <xf numFmtId="169" fontId="25" fillId="2" borderId="1" xfId="1" applyNumberFormat="1" applyFont="1" applyFill="1" applyBorder="1" applyAlignment="1">
      <alignment horizontal="center" vertical="center" wrapText="1"/>
    </xf>
    <xf numFmtId="164" fontId="25" fillId="2" borderId="19" xfId="1" applyNumberFormat="1" applyFont="1" applyFill="1" applyBorder="1" applyAlignment="1">
      <alignment horizontal="center" vertical="center" wrapText="1"/>
    </xf>
    <xf numFmtId="164" fontId="25" fillId="2" borderId="17" xfId="1" applyNumberFormat="1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/>
    </xf>
  </cellXfs>
  <cellStyles count="5">
    <cellStyle name="Normal" xfId="0" builtinId="0"/>
    <cellStyle name="Normal 2" xfId="3"/>
    <cellStyle name="Porcentagem" xfId="2" builtinId="5"/>
    <cellStyle name="Vírgula" xfId="1" builtinId="3"/>
    <cellStyle name="Vírgul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esempenho Operacional'!A1"/><Relationship Id="rId2" Type="http://schemas.openxmlformats.org/officeDocument/2006/relationships/hyperlink" Target="#BP!A1"/><Relationship Id="rId1" Type="http://schemas.openxmlformats.org/officeDocument/2006/relationships/hyperlink" Target="#DRE!A1"/><Relationship Id="rId5" Type="http://schemas.microsoft.com/office/2007/relationships/hdphoto" Target="../media/hdphoto1.wdp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152400</xdr:rowOff>
    </xdr:from>
    <xdr:to>
      <xdr:col>9</xdr:col>
      <xdr:colOff>142875</xdr:colOff>
      <xdr:row>12</xdr:row>
      <xdr:rowOff>57150</xdr:rowOff>
    </xdr:to>
    <xdr:sp macro="" textlink="">
      <xdr:nvSpPr>
        <xdr:cNvPr id="3" name="Retângulo Arredondado 2"/>
        <xdr:cNvSpPr/>
      </xdr:nvSpPr>
      <xdr:spPr>
        <a:xfrm>
          <a:off x="5486400" y="2428875"/>
          <a:ext cx="2847975" cy="542925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200"/>
        </a:p>
      </xdr:txBody>
    </xdr:sp>
    <xdr:clientData/>
  </xdr:twoCellAnchor>
  <xdr:twoCellAnchor>
    <xdr:from>
      <xdr:col>5</xdr:col>
      <xdr:colOff>270268</xdr:colOff>
      <xdr:row>10</xdr:row>
      <xdr:rowOff>152400</xdr:rowOff>
    </xdr:from>
    <xdr:to>
      <xdr:col>8</xdr:col>
      <xdr:colOff>492158</xdr:colOff>
      <xdr:row>12</xdr:row>
      <xdr:rowOff>47625</xdr:rowOff>
    </xdr:to>
    <xdr:sp macro="" textlink="">
      <xdr:nvSpPr>
        <xdr:cNvPr id="5" name="CaixaDeTexto 4">
          <a:hlinkClick xmlns:r="http://schemas.openxmlformats.org/officeDocument/2006/relationships" r:id="rId1"/>
        </xdr:cNvPr>
        <xdr:cNvSpPr txBox="1"/>
      </xdr:nvSpPr>
      <xdr:spPr>
        <a:xfrm>
          <a:off x="5756668" y="2428875"/>
          <a:ext cx="224119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solidFill>
                <a:srgbClr val="C00000"/>
              </a:solidFill>
              <a:latin typeface="Roboto" pitchFamily="2" charset="0"/>
              <a:ea typeface="Roboto" pitchFamily="2" charset="0"/>
            </a:rPr>
            <a:t>DRE </a:t>
          </a:r>
          <a:endParaRPr lang="pt-BR" sz="1200" i="1">
            <a:solidFill>
              <a:srgbClr val="C00000"/>
            </a:solidFill>
            <a:latin typeface="Roboto" pitchFamily="2" charset="0"/>
            <a:ea typeface="Roboto" pitchFamily="2" charset="0"/>
          </a:endParaRPr>
        </a:p>
        <a:p>
          <a:pPr algn="ctr"/>
          <a:r>
            <a:rPr lang="pt-BR" sz="1200" i="1">
              <a:solidFill>
                <a:srgbClr val="C00000"/>
              </a:solidFill>
              <a:latin typeface="Roboto" pitchFamily="2" charset="0"/>
              <a:ea typeface="Roboto" pitchFamily="2" charset="0"/>
            </a:rPr>
            <a:t>Income Statements</a:t>
          </a:r>
        </a:p>
      </xdr:txBody>
    </xdr:sp>
    <xdr:clientData/>
  </xdr:twoCellAnchor>
  <xdr:twoCellAnchor>
    <xdr:from>
      <xdr:col>5</xdr:col>
      <xdr:colOff>9525</xdr:colOff>
      <xdr:row>13</xdr:row>
      <xdr:rowOff>57151</xdr:rowOff>
    </xdr:from>
    <xdr:to>
      <xdr:col>9</xdr:col>
      <xdr:colOff>133350</xdr:colOff>
      <xdr:row>16</xdr:row>
      <xdr:rowOff>26325</xdr:rowOff>
    </xdr:to>
    <xdr:sp macro="" textlink="">
      <xdr:nvSpPr>
        <xdr:cNvPr id="8" name="Retângulo Arredondado 7"/>
        <xdr:cNvSpPr/>
      </xdr:nvSpPr>
      <xdr:spPr>
        <a:xfrm>
          <a:off x="5495925" y="3162301"/>
          <a:ext cx="2828925" cy="635924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200"/>
        </a:p>
      </xdr:txBody>
    </xdr:sp>
    <xdr:clientData/>
  </xdr:twoCellAnchor>
  <xdr:twoCellAnchor>
    <xdr:from>
      <xdr:col>5</xdr:col>
      <xdr:colOff>154338</xdr:colOff>
      <xdr:row>13</xdr:row>
      <xdr:rowOff>105699</xdr:rowOff>
    </xdr:from>
    <xdr:to>
      <xdr:col>8</xdr:col>
      <xdr:colOff>669271</xdr:colOff>
      <xdr:row>16</xdr:row>
      <xdr:rowOff>19050</xdr:rowOff>
    </xdr:to>
    <xdr:sp macro="" textlink="">
      <xdr:nvSpPr>
        <xdr:cNvPr id="9" name="CaixaDeTexto 8">
          <a:hlinkClick xmlns:r="http://schemas.openxmlformats.org/officeDocument/2006/relationships" r:id="rId2"/>
        </xdr:cNvPr>
        <xdr:cNvSpPr txBox="1"/>
      </xdr:nvSpPr>
      <xdr:spPr>
        <a:xfrm>
          <a:off x="5640738" y="3210849"/>
          <a:ext cx="2534233" cy="580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solidFill>
                <a:srgbClr val="C00000"/>
              </a:solidFill>
              <a:latin typeface="Roboto" pitchFamily="2" charset="0"/>
              <a:ea typeface="Roboto" pitchFamily="2" charset="0"/>
              <a:cs typeface="+mn-cs"/>
            </a:rPr>
            <a:t>Balanço</a:t>
          </a:r>
          <a:r>
            <a:rPr lang="pt-BR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200">
              <a:solidFill>
                <a:srgbClr val="C00000"/>
              </a:solidFill>
              <a:latin typeface="Roboto" pitchFamily="2" charset="0"/>
              <a:ea typeface="Roboto" pitchFamily="2" charset="0"/>
              <a:cs typeface="+mn-cs"/>
            </a:rPr>
            <a:t>patrimonial </a:t>
          </a:r>
        </a:p>
        <a:p>
          <a:pPr algn="ctr"/>
          <a:r>
            <a:rPr lang="pt-BR" sz="1200" i="1">
              <a:solidFill>
                <a:srgbClr val="C00000"/>
              </a:solidFill>
              <a:latin typeface="Roboto" pitchFamily="2" charset="0"/>
              <a:ea typeface="Roboto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5</xdr:col>
      <xdr:colOff>9525</xdr:colOff>
      <xdr:row>16</xdr:row>
      <xdr:rowOff>180974</xdr:rowOff>
    </xdr:from>
    <xdr:to>
      <xdr:col>9</xdr:col>
      <xdr:colOff>142874</xdr:colOff>
      <xdr:row>19</xdr:row>
      <xdr:rowOff>171450</xdr:rowOff>
    </xdr:to>
    <xdr:sp macro="" textlink="">
      <xdr:nvSpPr>
        <xdr:cNvPr id="11" name="Retângulo Arredondado 10"/>
        <xdr:cNvSpPr/>
      </xdr:nvSpPr>
      <xdr:spPr>
        <a:xfrm>
          <a:off x="5495925" y="3952874"/>
          <a:ext cx="2838449" cy="609601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200"/>
        </a:p>
      </xdr:txBody>
    </xdr:sp>
    <xdr:clientData/>
  </xdr:twoCellAnchor>
  <xdr:twoCellAnchor>
    <xdr:from>
      <xdr:col>5</xdr:col>
      <xdr:colOff>66675</xdr:colOff>
      <xdr:row>17</xdr:row>
      <xdr:rowOff>32382</xdr:rowOff>
    </xdr:from>
    <xdr:to>
      <xdr:col>9</xdr:col>
      <xdr:colOff>190818</xdr:colOff>
      <xdr:row>19</xdr:row>
      <xdr:rowOff>111758</xdr:rowOff>
    </xdr:to>
    <xdr:sp macro="" textlink="">
      <xdr:nvSpPr>
        <xdr:cNvPr id="12" name="CaixaDeTexto 11">
          <a:hlinkClick xmlns:r="http://schemas.openxmlformats.org/officeDocument/2006/relationships" r:id="rId3"/>
        </xdr:cNvPr>
        <xdr:cNvSpPr txBox="1"/>
      </xdr:nvSpPr>
      <xdr:spPr>
        <a:xfrm>
          <a:off x="5553075" y="3851907"/>
          <a:ext cx="2829243" cy="50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solidFill>
                <a:srgbClr val="C00000"/>
              </a:solidFill>
              <a:latin typeface="Roboto" pitchFamily="2" charset="0"/>
              <a:ea typeface="Roboto" pitchFamily="2" charset="0"/>
              <a:cs typeface="+mn-cs"/>
            </a:rPr>
            <a:t>Desempenho</a:t>
          </a:r>
          <a:r>
            <a:rPr lang="pt-BR" sz="1200" baseline="0">
              <a:solidFill>
                <a:srgbClr val="C00000"/>
              </a:solidFill>
              <a:latin typeface="Roboto" pitchFamily="2" charset="0"/>
              <a:ea typeface="Roboto" pitchFamily="2" charset="0"/>
              <a:cs typeface="+mn-cs"/>
            </a:rPr>
            <a:t> Operacional</a:t>
          </a:r>
        </a:p>
        <a:p>
          <a:pPr algn="ctr"/>
          <a:r>
            <a:rPr lang="pt-BR" sz="1200" i="1">
              <a:solidFill>
                <a:srgbClr val="C00000"/>
              </a:solidFill>
              <a:latin typeface="Roboto" pitchFamily="2" charset="0"/>
              <a:ea typeface="Roboto" pitchFamily="2" charset="0"/>
              <a:cs typeface="+mn-cs"/>
            </a:rPr>
            <a:t>Operating</a:t>
          </a:r>
          <a:r>
            <a:rPr lang="pt-BR" sz="1200" i="1" baseline="0">
              <a:solidFill>
                <a:srgbClr val="C00000"/>
              </a:solidFill>
              <a:latin typeface="Roboto" pitchFamily="2" charset="0"/>
              <a:ea typeface="Roboto" pitchFamily="2" charset="0"/>
              <a:cs typeface="+mn-cs"/>
            </a:rPr>
            <a:t> Performance</a:t>
          </a:r>
          <a:endParaRPr lang="pt-BR" sz="1200" i="1">
            <a:solidFill>
              <a:srgbClr val="C00000"/>
            </a:solidFill>
            <a:latin typeface="Roboto" pitchFamily="2" charset="0"/>
            <a:ea typeface="Roboto" pitchFamily="2" charset="0"/>
            <a:cs typeface="+mn-cs"/>
          </a:endParaRPr>
        </a:p>
      </xdr:txBody>
    </xdr:sp>
    <xdr:clientData/>
  </xdr:twoCellAnchor>
  <xdr:twoCellAnchor editAs="oneCell">
    <xdr:from>
      <xdr:col>1</xdr:col>
      <xdr:colOff>123825</xdr:colOff>
      <xdr:row>25</xdr:row>
      <xdr:rowOff>86407</xdr:rowOff>
    </xdr:from>
    <xdr:to>
      <xdr:col>2</xdr:col>
      <xdr:colOff>819150</xdr:colOff>
      <xdr:row>28</xdr:row>
      <xdr:rowOff>79827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000" b="90000" l="10000" r="90000">
                      <a14:foregroundMark x1="32390" y1="28814" x2="32809" y2="38741"/>
                      <a14:foregroundMark x1="43291" y1="26634" x2="47275" y2="25908"/>
                      <a14:foregroundMark x1="51992" y1="27119" x2="52621" y2="39467"/>
                      <a14:foregroundMark x1="20650" y1="65617" x2="21384" y2="71913"/>
                      <a14:foregroundMark x1="27673" y1="63923" x2="28826" y2="63680"/>
                      <a14:foregroundMark x1="34067" y1="64165" x2="34172" y2="68765"/>
                      <a14:foregroundMark x1="39099" y1="65860" x2="39099" y2="69492"/>
                      <a14:foregroundMark x1="41509" y1="64891" x2="41509" y2="66102"/>
                      <a14:foregroundMark x1="47904" y1="63438" x2="47904" y2="63438"/>
                      <a14:foregroundMark x1="52201" y1="63438" x2="52201" y2="63438"/>
                      <a14:foregroundMark x1="57757" y1="63438" x2="57757" y2="63438"/>
                      <a14:foregroundMark x1="66667" y1="64891" x2="66667" y2="64891"/>
                      <a14:foregroundMark x1="73690" y1="66102" x2="73690" y2="66102"/>
                      <a14:backgroundMark x1="23375" y1="66586" x2="23375" y2="66586"/>
                      <a14:backgroundMark x1="23480" y1="72881" x2="23480" y2="7288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5477557"/>
          <a:ext cx="1304925" cy="564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251114</xdr:colOff>
      <xdr:row>0</xdr:row>
      <xdr:rowOff>34636</xdr:rowOff>
    </xdr:from>
    <xdr:to>
      <xdr:col>0</xdr:col>
      <xdr:colOff>1295400</xdr:colOff>
      <xdr:row>2</xdr:row>
      <xdr:rowOff>121228</xdr:rowOff>
    </xdr:to>
    <xdr:grpSp>
      <xdr:nvGrpSpPr>
        <xdr:cNvPr id="2" name="Agrupar 1"/>
        <xdr:cNvGrpSpPr/>
      </xdr:nvGrpSpPr>
      <xdr:grpSpPr>
        <a:xfrm>
          <a:off x="251114" y="34636"/>
          <a:ext cx="1044286" cy="639042"/>
          <a:chOff x="744682" y="34636"/>
          <a:chExt cx="1044286" cy="640774"/>
        </a:xfrm>
      </xdr:grpSpPr>
      <xdr:sp macro="" textlink="">
        <xdr:nvSpPr>
          <xdr:cNvPr id="4" name="Retângulo Arredondado 3"/>
          <xdr:cNvSpPr/>
        </xdr:nvSpPr>
        <xdr:spPr>
          <a:xfrm>
            <a:off x="744682" y="34636"/>
            <a:ext cx="1044286" cy="640774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" name="CaixaDeTexto 2">
            <a:hlinkClick xmlns:r="http://schemas.openxmlformats.org/officeDocument/2006/relationships" r:id="rId1"/>
          </xdr:cNvPr>
          <xdr:cNvSpPr txBox="1"/>
        </xdr:nvSpPr>
        <xdr:spPr>
          <a:xfrm>
            <a:off x="848591" y="199160"/>
            <a:ext cx="831273" cy="3030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400" b="1">
                <a:solidFill>
                  <a:srgbClr val="C00000"/>
                </a:solidFill>
                <a:latin typeface="Roboto" pitchFamily="2" charset="0"/>
                <a:ea typeface="Roboto" pitchFamily="2" charset="0"/>
              </a:rPr>
              <a:t>Menu</a:t>
            </a:r>
            <a:endParaRPr lang="pt-BR" sz="1100" b="1">
              <a:solidFill>
                <a:srgbClr val="C00000"/>
              </a:solidFill>
              <a:latin typeface="Roboto" pitchFamily="2" charset="0"/>
              <a:ea typeface="Roboto" pitchFamily="2" charset="0"/>
            </a:endParaRPr>
          </a:p>
        </xdr:txBody>
      </xdr:sp>
    </xdr:grpSp>
    <xdr:clientData/>
  </xdr:twoCellAnchor>
  <xdr:twoCellAnchor editAs="oneCell">
    <xdr:from>
      <xdr:col>0</xdr:col>
      <xdr:colOff>1457326</xdr:colOff>
      <xdr:row>0</xdr:row>
      <xdr:rowOff>152401</xdr:rowOff>
    </xdr:from>
    <xdr:to>
      <xdr:col>0</xdr:col>
      <xdr:colOff>2943225</xdr:colOff>
      <xdr:row>1</xdr:row>
      <xdr:rowOff>303521</xdr:rowOff>
    </xdr:to>
    <xdr:pic>
      <xdr:nvPicPr>
        <xdr:cNvPr id="5" name="Imagem 4" descr="https://yourlife.com.br/eternit/arquivos/arq20190924085458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6" y="152401"/>
          <a:ext cx="1485899" cy="398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251114</xdr:colOff>
      <xdr:row>0</xdr:row>
      <xdr:rowOff>34636</xdr:rowOff>
    </xdr:from>
    <xdr:to>
      <xdr:col>0</xdr:col>
      <xdr:colOff>1295400</xdr:colOff>
      <xdr:row>2</xdr:row>
      <xdr:rowOff>121228</xdr:rowOff>
    </xdr:to>
    <xdr:sp macro="" textlink="">
      <xdr:nvSpPr>
        <xdr:cNvPr id="2" name="Retângulo Arredondado 1"/>
        <xdr:cNvSpPr/>
      </xdr:nvSpPr>
      <xdr:spPr>
        <a:xfrm>
          <a:off x="746414" y="34636"/>
          <a:ext cx="1044286" cy="639042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355023</xdr:colOff>
      <xdr:row>0</xdr:row>
      <xdr:rowOff>199160</xdr:rowOff>
    </xdr:from>
    <xdr:to>
      <xdr:col>0</xdr:col>
      <xdr:colOff>1186296</xdr:colOff>
      <xdr:row>1</xdr:row>
      <xdr:rowOff>251114</xdr:rowOff>
    </xdr:to>
    <xdr:sp macro="" textlink="">
      <xdr:nvSpPr>
        <xdr:cNvPr id="3" name="CaixaDeTexto 2">
          <a:hlinkClick xmlns:r="http://schemas.openxmlformats.org/officeDocument/2006/relationships" r:id="rId1"/>
        </xdr:cNvPr>
        <xdr:cNvSpPr txBox="1"/>
      </xdr:nvSpPr>
      <xdr:spPr>
        <a:xfrm>
          <a:off x="850323" y="199160"/>
          <a:ext cx="831273" cy="299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C00000"/>
              </a:solidFill>
              <a:latin typeface="Roboto" pitchFamily="2" charset="0"/>
              <a:ea typeface="Roboto" pitchFamily="2" charset="0"/>
            </a:rPr>
            <a:t>Menu</a:t>
          </a:r>
          <a:endParaRPr lang="pt-BR" sz="1100" b="1">
            <a:solidFill>
              <a:srgbClr val="C00000"/>
            </a:solidFill>
            <a:latin typeface="Roboto" pitchFamily="2" charset="0"/>
            <a:ea typeface="Roboto" pitchFamily="2" charset="0"/>
          </a:endParaRPr>
        </a:p>
      </xdr:txBody>
    </xdr:sp>
    <xdr:clientData/>
  </xdr:twoCellAnchor>
  <xdr:twoCellAnchor editAs="oneCell">
    <xdr:from>
      <xdr:col>0</xdr:col>
      <xdr:colOff>1466850</xdr:colOff>
      <xdr:row>0</xdr:row>
      <xdr:rowOff>152400</xdr:rowOff>
    </xdr:from>
    <xdr:to>
      <xdr:col>0</xdr:col>
      <xdr:colOff>2952749</xdr:colOff>
      <xdr:row>1</xdr:row>
      <xdr:rowOff>303520</xdr:rowOff>
    </xdr:to>
    <xdr:pic>
      <xdr:nvPicPr>
        <xdr:cNvPr id="4" name="Imagem 3" descr="https://yourlife.com.br/eternit/arquivos/arq20190924085458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52400"/>
          <a:ext cx="1485899" cy="398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174914</xdr:colOff>
      <xdr:row>0</xdr:row>
      <xdr:rowOff>120361</xdr:rowOff>
    </xdr:from>
    <xdr:to>
      <xdr:col>0</xdr:col>
      <xdr:colOff>1219200</xdr:colOff>
      <xdr:row>2</xdr:row>
      <xdr:rowOff>206953</xdr:rowOff>
    </xdr:to>
    <xdr:grpSp>
      <xdr:nvGrpSpPr>
        <xdr:cNvPr id="2" name="Agrupar 1"/>
        <xdr:cNvGrpSpPr/>
      </xdr:nvGrpSpPr>
      <xdr:grpSpPr>
        <a:xfrm>
          <a:off x="174914" y="120361"/>
          <a:ext cx="1044286" cy="639042"/>
          <a:chOff x="744682" y="34636"/>
          <a:chExt cx="1044286" cy="640774"/>
        </a:xfrm>
      </xdr:grpSpPr>
      <xdr:sp macro="" textlink="">
        <xdr:nvSpPr>
          <xdr:cNvPr id="3" name="Retângulo Arredondado 2"/>
          <xdr:cNvSpPr/>
        </xdr:nvSpPr>
        <xdr:spPr>
          <a:xfrm>
            <a:off x="744682" y="34636"/>
            <a:ext cx="1044286" cy="640774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hlinkClick xmlns:r="http://schemas.openxmlformats.org/officeDocument/2006/relationships" r:id="rId1"/>
          </xdr:cNvPr>
          <xdr:cNvSpPr txBox="1"/>
        </xdr:nvSpPr>
        <xdr:spPr>
          <a:xfrm>
            <a:off x="848591" y="199160"/>
            <a:ext cx="831273" cy="3030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400" b="1">
                <a:solidFill>
                  <a:srgbClr val="C00000"/>
                </a:solidFill>
                <a:latin typeface="Roboto" pitchFamily="2" charset="0"/>
                <a:ea typeface="Roboto" pitchFamily="2" charset="0"/>
              </a:rPr>
              <a:t>Menu</a:t>
            </a:r>
            <a:endParaRPr lang="pt-BR" sz="1100" b="1">
              <a:solidFill>
                <a:srgbClr val="C00000"/>
              </a:solidFill>
              <a:latin typeface="Roboto" pitchFamily="2" charset="0"/>
              <a:ea typeface="Roboto" pitchFamily="2" charset="0"/>
            </a:endParaRPr>
          </a:p>
        </xdr:txBody>
      </xdr:sp>
    </xdr:grpSp>
    <xdr:clientData/>
  </xdr:twoCellAnchor>
  <xdr:twoCellAnchor editAs="oneCell">
    <xdr:from>
      <xdr:col>0</xdr:col>
      <xdr:colOff>1457325</xdr:colOff>
      <xdr:row>0</xdr:row>
      <xdr:rowOff>219075</xdr:rowOff>
    </xdr:from>
    <xdr:to>
      <xdr:col>0</xdr:col>
      <xdr:colOff>2943224</xdr:colOff>
      <xdr:row>2</xdr:row>
      <xdr:rowOff>65395</xdr:rowOff>
    </xdr:to>
    <xdr:pic>
      <xdr:nvPicPr>
        <xdr:cNvPr id="5" name="Imagem 4" descr="https://yourlife.com.br/eternit/arquivos/arq20190924085458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219075"/>
          <a:ext cx="1485899" cy="398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213014</xdr:colOff>
      <xdr:row>0</xdr:row>
      <xdr:rowOff>63211</xdr:rowOff>
    </xdr:from>
    <xdr:to>
      <xdr:col>0</xdr:col>
      <xdr:colOff>1257300</xdr:colOff>
      <xdr:row>2</xdr:row>
      <xdr:rowOff>149803</xdr:rowOff>
    </xdr:to>
    <xdr:grpSp>
      <xdr:nvGrpSpPr>
        <xdr:cNvPr id="2" name="Agrupar 1"/>
        <xdr:cNvGrpSpPr/>
      </xdr:nvGrpSpPr>
      <xdr:grpSpPr>
        <a:xfrm>
          <a:off x="213014" y="63211"/>
          <a:ext cx="1044286" cy="639042"/>
          <a:chOff x="744682" y="34636"/>
          <a:chExt cx="1044286" cy="640774"/>
        </a:xfrm>
      </xdr:grpSpPr>
      <xdr:sp macro="" textlink="">
        <xdr:nvSpPr>
          <xdr:cNvPr id="3" name="Retângulo Arredondado 2"/>
          <xdr:cNvSpPr/>
        </xdr:nvSpPr>
        <xdr:spPr>
          <a:xfrm>
            <a:off x="744682" y="34636"/>
            <a:ext cx="1044286" cy="640774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CaixaDeTexto 3">
            <a:hlinkClick xmlns:r="http://schemas.openxmlformats.org/officeDocument/2006/relationships" r:id="rId1"/>
          </xdr:cNvPr>
          <xdr:cNvSpPr txBox="1"/>
        </xdr:nvSpPr>
        <xdr:spPr>
          <a:xfrm>
            <a:off x="848591" y="199160"/>
            <a:ext cx="831273" cy="3030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400" b="1">
                <a:solidFill>
                  <a:srgbClr val="C00000"/>
                </a:solidFill>
                <a:latin typeface="Roboto" pitchFamily="2" charset="0"/>
                <a:ea typeface="Roboto" pitchFamily="2" charset="0"/>
              </a:rPr>
              <a:t>Menu</a:t>
            </a:r>
            <a:endParaRPr lang="pt-BR" sz="1100" b="1">
              <a:solidFill>
                <a:srgbClr val="C00000"/>
              </a:solidFill>
              <a:latin typeface="Roboto" pitchFamily="2" charset="0"/>
              <a:ea typeface="Roboto" pitchFamily="2" charset="0"/>
            </a:endParaRPr>
          </a:p>
        </xdr:txBody>
      </xdr:sp>
    </xdr:grpSp>
    <xdr:clientData/>
  </xdr:twoCellAnchor>
  <xdr:twoCellAnchor editAs="oneCell">
    <xdr:from>
      <xdr:col>0</xdr:col>
      <xdr:colOff>1390650</xdr:colOff>
      <xdr:row>0</xdr:row>
      <xdr:rowOff>200025</xdr:rowOff>
    </xdr:from>
    <xdr:to>
      <xdr:col>0</xdr:col>
      <xdr:colOff>2876549</xdr:colOff>
      <xdr:row>2</xdr:row>
      <xdr:rowOff>46345</xdr:rowOff>
    </xdr:to>
    <xdr:pic>
      <xdr:nvPicPr>
        <xdr:cNvPr id="5" name="Imagem 4" descr="https://yourlife.com.br/eternit/arquivos/arq20190924085458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200025"/>
          <a:ext cx="1485899" cy="398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1"/>
  <sheetViews>
    <sheetView showGridLines="0" tabSelected="1" zoomScaleNormal="100" zoomScaleSheetLayoutView="120" workbookViewId="0">
      <selection activeCell="D18" sqref="D18"/>
    </sheetView>
  </sheetViews>
  <sheetFormatPr defaultColWidth="0" defaultRowHeight="15" zeroHeight="1"/>
  <cols>
    <col min="1" max="2" width="9.140625" customWidth="1"/>
    <col min="3" max="3" width="38.7109375" customWidth="1"/>
    <col min="4" max="4" width="16.140625" customWidth="1"/>
    <col min="5" max="6" width="9.140625" customWidth="1"/>
    <col min="7" max="7" width="10.85546875" customWidth="1"/>
    <col min="8" max="9" width="10.28515625" customWidth="1"/>
    <col min="10" max="10" width="11.7109375" customWidth="1"/>
    <col min="11" max="13" width="9.140625" customWidth="1"/>
    <col min="14" max="14" width="27.7109375" customWidth="1"/>
    <col min="15" max="55" width="9.140625" hidden="1"/>
    <col min="56" max="56" width="2.28515625" hidden="1"/>
    <col min="57" max="57" width="43.28515625" hidden="1"/>
    <col min="58" max="58" width="40" hidden="1"/>
    <col min="59" max="59" width="2.5703125" hidden="1"/>
    <col min="60" max="60" width="49.7109375" hidden="1"/>
    <col min="61" max="61" width="55.28515625" hidden="1"/>
    <col min="62" max="62" width="3.140625" hidden="1"/>
    <col min="63" max="63" width="45.28515625" hidden="1"/>
    <col min="64" max="64" width="38.85546875" hidden="1"/>
    <col min="65" max="16383" width="9.140625" hidden="1"/>
    <col min="16384" max="16384" width="0.140625" hidden="1" customWidth="1"/>
  </cols>
  <sheetData>
    <row r="1" spans="3:8"/>
    <row r="2" spans="3:8"/>
    <row r="3" spans="3:8"/>
    <row r="4" spans="3:8" ht="25.5" customHeight="1"/>
    <row r="5" spans="3:8"/>
    <row r="6" spans="3:8"/>
    <row r="7" spans="3:8"/>
    <row r="8" spans="3:8" ht="18.75">
      <c r="D8" s="80"/>
      <c r="E8" s="80"/>
      <c r="F8" s="80"/>
    </row>
    <row r="9" spans="3:8" ht="18.75">
      <c r="D9" s="80"/>
      <c r="E9" s="80"/>
      <c r="F9" s="80"/>
    </row>
    <row r="10" spans="3:8" ht="18.75">
      <c r="D10" s="80"/>
      <c r="E10" s="80"/>
      <c r="F10" s="80"/>
    </row>
    <row r="11" spans="3:8" ht="23.25">
      <c r="C11" s="82" t="s">
        <v>64</v>
      </c>
      <c r="D11" s="79"/>
      <c r="E11" s="79"/>
      <c r="F11" s="79"/>
      <c r="G11" s="80"/>
      <c r="H11" s="80"/>
    </row>
    <row r="12" spans="3:8" ht="23.25">
      <c r="C12" s="83" t="s">
        <v>65</v>
      </c>
    </row>
    <row r="13" spans="3:8"/>
    <row r="14" spans="3:8"/>
    <row r="15" spans="3:8" ht="18.75">
      <c r="C15" s="81" t="s">
        <v>66</v>
      </c>
      <c r="D15" s="85" t="s">
        <v>260</v>
      </c>
    </row>
    <row r="16" spans="3:8" ht="18.75">
      <c r="C16" s="86" t="s">
        <v>67</v>
      </c>
      <c r="D16" s="85" t="s">
        <v>261</v>
      </c>
    </row>
    <row r="17" spans="3:4"/>
    <row r="18" spans="3:4" ht="18.75">
      <c r="C18" s="81" t="s">
        <v>237</v>
      </c>
      <c r="D18" s="84" t="s">
        <v>257</v>
      </c>
    </row>
    <row r="19" spans="3:4"/>
    <row r="20" spans="3:4"/>
    <row r="21" spans="3:4"/>
    <row r="22" spans="3:4"/>
    <row r="23" spans="3:4"/>
    <row r="24" spans="3:4"/>
    <row r="25" spans="3:4"/>
    <row r="26" spans="3:4"/>
    <row r="27" spans="3:4"/>
    <row r="28" spans="3:4"/>
    <row r="29" spans="3:4"/>
    <row r="30" spans="3:4"/>
    <row r="31" spans="3:4"/>
    <row r="32" spans="3:4"/>
    <row r="33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</sheetData>
  <dataValidations count="1">
    <dataValidation type="list" allowBlank="1" showInputMessage="1" showErrorMessage="1" sqref="D18">
      <formula1>"Português,English"</formula1>
    </dataValidation>
  </dataValidations>
  <pageMargins left="0.51181102362204722" right="0.51181102362204722" top="0.78740157480314965" bottom="0.78740157480314965" header="0.31496062992125984" footer="0.31496062992125984"/>
  <pageSetup paperSize="9" fitToWidth="0" fitToHeight="0" orientation="landscape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3"/>
  <sheetViews>
    <sheetView workbookViewId="0">
      <selection activeCell="A10" sqref="A10"/>
    </sheetView>
  </sheetViews>
  <sheetFormatPr defaultRowHeight="15"/>
  <cols>
    <col min="1" max="1" width="38.140625" customWidth="1"/>
    <col min="2" max="2" width="53.85546875" customWidth="1"/>
    <col min="4" max="4" width="56.28515625" customWidth="1"/>
    <col min="5" max="5" width="55.28515625" customWidth="1"/>
    <col min="7" max="7" width="26.28515625" customWidth="1"/>
    <col min="8" max="8" width="24.28515625" customWidth="1"/>
  </cols>
  <sheetData>
    <row r="1" spans="1:8" ht="30">
      <c r="A1" s="37" t="s">
        <v>225</v>
      </c>
      <c r="B1" s="37" t="s">
        <v>93</v>
      </c>
      <c r="D1" s="24" t="s">
        <v>74</v>
      </c>
      <c r="E1" s="68" t="s">
        <v>162</v>
      </c>
      <c r="G1" s="75" t="s">
        <v>142</v>
      </c>
      <c r="H1" s="77" t="s">
        <v>216</v>
      </c>
    </row>
    <row r="2" spans="1:8">
      <c r="A2" s="36" t="s">
        <v>94</v>
      </c>
      <c r="B2" s="36" t="s">
        <v>95</v>
      </c>
      <c r="D2" s="68" t="s">
        <v>68</v>
      </c>
      <c r="E2" s="68" t="s">
        <v>163</v>
      </c>
      <c r="G2" s="75"/>
      <c r="H2" s="77"/>
    </row>
    <row r="3" spans="1:8">
      <c r="A3" s="38" t="s">
        <v>97</v>
      </c>
      <c r="B3" s="38" t="s">
        <v>96</v>
      </c>
      <c r="D3" s="36" t="s">
        <v>69</v>
      </c>
      <c r="E3" s="36" t="s">
        <v>164</v>
      </c>
      <c r="G3" s="75" t="s">
        <v>143</v>
      </c>
      <c r="H3" s="75" t="s">
        <v>217</v>
      </c>
    </row>
    <row r="4" spans="1:8" ht="26.25">
      <c r="A4" s="38" t="s">
        <v>62</v>
      </c>
      <c r="B4" s="38" t="s">
        <v>110</v>
      </c>
      <c r="D4" s="38" t="s">
        <v>70</v>
      </c>
      <c r="E4" s="38" t="s">
        <v>165</v>
      </c>
      <c r="G4" s="69" t="s">
        <v>144</v>
      </c>
      <c r="H4" s="69" t="s">
        <v>223</v>
      </c>
    </row>
    <row r="5" spans="1:8" ht="26.25">
      <c r="A5" s="38" t="s">
        <v>58</v>
      </c>
      <c r="B5" s="38" t="s">
        <v>256</v>
      </c>
      <c r="D5" s="38" t="s">
        <v>71</v>
      </c>
      <c r="E5" s="69" t="s">
        <v>166</v>
      </c>
      <c r="G5" s="69" t="s">
        <v>145</v>
      </c>
      <c r="H5" s="69" t="s">
        <v>218</v>
      </c>
    </row>
    <row r="6" spans="1:8">
      <c r="A6" s="38" t="s">
        <v>59</v>
      </c>
      <c r="B6" s="38" t="s">
        <v>119</v>
      </c>
      <c r="D6" s="38" t="s">
        <v>72</v>
      </c>
      <c r="E6" s="69" t="s">
        <v>167</v>
      </c>
      <c r="G6" s="69" t="s">
        <v>146</v>
      </c>
      <c r="H6" s="69" t="s">
        <v>219</v>
      </c>
    </row>
    <row r="7" spans="1:8">
      <c r="A7" s="38" t="s">
        <v>44</v>
      </c>
      <c r="B7" s="38" t="s">
        <v>120</v>
      </c>
      <c r="D7" s="38" t="s">
        <v>75</v>
      </c>
      <c r="E7" s="69" t="s">
        <v>168</v>
      </c>
      <c r="G7" s="69" t="s">
        <v>147</v>
      </c>
      <c r="H7" s="69" t="s">
        <v>220</v>
      </c>
    </row>
    <row r="8" spans="1:8" ht="26.25">
      <c r="A8" s="38" t="s">
        <v>56</v>
      </c>
      <c r="B8" s="38" t="s">
        <v>121</v>
      </c>
      <c r="D8" s="38" t="s">
        <v>76</v>
      </c>
      <c r="E8" s="69" t="s">
        <v>169</v>
      </c>
      <c r="G8" s="69" t="s">
        <v>148</v>
      </c>
      <c r="H8" s="69" t="s">
        <v>221</v>
      </c>
    </row>
    <row r="9" spans="1:8">
      <c r="A9" s="38" t="s">
        <v>57</v>
      </c>
      <c r="B9" s="38" t="s">
        <v>122</v>
      </c>
      <c r="D9" s="38" t="s">
        <v>79</v>
      </c>
      <c r="E9" s="69" t="s">
        <v>170</v>
      </c>
      <c r="G9" s="76" t="s">
        <v>149</v>
      </c>
      <c r="H9" s="76" t="s">
        <v>222</v>
      </c>
    </row>
    <row r="10" spans="1:8" ht="26.25">
      <c r="A10" s="38" t="s">
        <v>226</v>
      </c>
      <c r="B10" s="38" t="s">
        <v>243</v>
      </c>
      <c r="D10" s="38" t="s">
        <v>73</v>
      </c>
      <c r="E10" s="69" t="s">
        <v>171</v>
      </c>
      <c r="G10" s="69" t="s">
        <v>150</v>
      </c>
      <c r="H10" s="69" t="s">
        <v>224</v>
      </c>
    </row>
    <row r="11" spans="1:8">
      <c r="A11" s="38" t="s">
        <v>126</v>
      </c>
      <c r="B11" s="38" t="s">
        <v>124</v>
      </c>
      <c r="D11" s="38" t="s">
        <v>135</v>
      </c>
      <c r="E11" s="69" t="s">
        <v>172</v>
      </c>
      <c r="G11" s="69" t="s">
        <v>146</v>
      </c>
      <c r="H11" s="69" t="s">
        <v>219</v>
      </c>
    </row>
    <row r="12" spans="1:8">
      <c r="A12" s="38" t="s">
        <v>227</v>
      </c>
      <c r="B12" s="38" t="s">
        <v>242</v>
      </c>
      <c r="D12" s="38" t="s">
        <v>77</v>
      </c>
      <c r="E12" s="78" t="s">
        <v>173</v>
      </c>
      <c r="G12" s="69" t="s">
        <v>147</v>
      </c>
      <c r="H12" s="69" t="s">
        <v>220</v>
      </c>
    </row>
    <row r="13" spans="1:8" ht="26.25">
      <c r="A13" s="38" t="s">
        <v>127</v>
      </c>
      <c r="B13" s="38" t="s">
        <v>125</v>
      </c>
      <c r="D13" s="38" t="s">
        <v>111</v>
      </c>
      <c r="E13" s="70" t="s">
        <v>174</v>
      </c>
      <c r="G13" s="69" t="s">
        <v>148</v>
      </c>
      <c r="H13" s="69" t="s">
        <v>221</v>
      </c>
    </row>
    <row r="14" spans="1:8" ht="26.25">
      <c r="A14" s="38" t="s">
        <v>233</v>
      </c>
      <c r="B14" s="38" t="s">
        <v>230</v>
      </c>
      <c r="D14" s="36" t="s">
        <v>78</v>
      </c>
      <c r="E14" s="36" t="s">
        <v>175</v>
      </c>
      <c r="G14" s="76" t="s">
        <v>151</v>
      </c>
      <c r="H14" s="76" t="s">
        <v>240</v>
      </c>
    </row>
    <row r="15" spans="1:8" ht="26.25">
      <c r="A15" s="38" t="s">
        <v>128</v>
      </c>
      <c r="B15" s="38" t="s">
        <v>129</v>
      </c>
      <c r="D15" s="38" t="s">
        <v>80</v>
      </c>
      <c r="E15" s="70" t="s">
        <v>176</v>
      </c>
      <c r="G15" s="69" t="s">
        <v>152</v>
      </c>
      <c r="H15" s="69" t="s">
        <v>241</v>
      </c>
    </row>
    <row r="16" spans="1:8">
      <c r="A16" s="38" t="s">
        <v>45</v>
      </c>
      <c r="B16" s="38" t="s">
        <v>130</v>
      </c>
      <c r="D16" s="71" t="s">
        <v>76</v>
      </c>
      <c r="E16" s="72" t="s">
        <v>177</v>
      </c>
      <c r="G16" s="69" t="s">
        <v>146</v>
      </c>
      <c r="H16" s="69" t="s">
        <v>219</v>
      </c>
    </row>
    <row r="17" spans="1:8" ht="39">
      <c r="A17" s="38" t="s">
        <v>55</v>
      </c>
      <c r="B17" s="38" t="s">
        <v>131</v>
      </c>
      <c r="D17" s="38" t="s">
        <v>73</v>
      </c>
      <c r="E17" s="72" t="s">
        <v>171</v>
      </c>
      <c r="G17" s="69" t="s">
        <v>147</v>
      </c>
      <c r="H17" s="69" t="s">
        <v>220</v>
      </c>
    </row>
    <row r="18" spans="1:8" ht="26.25">
      <c r="A18" s="38" t="s">
        <v>231</v>
      </c>
      <c r="B18" s="38" t="s">
        <v>232</v>
      </c>
      <c r="D18" s="38" t="s">
        <v>84</v>
      </c>
      <c r="E18" s="72" t="s">
        <v>178</v>
      </c>
      <c r="G18" s="69" t="s">
        <v>148</v>
      </c>
      <c r="H18" s="69" t="s">
        <v>221</v>
      </c>
    </row>
    <row r="19" spans="1:8">
      <c r="A19" s="38" t="s">
        <v>46</v>
      </c>
      <c r="B19" s="38" t="s">
        <v>134</v>
      </c>
      <c r="D19" s="38" t="s">
        <v>81</v>
      </c>
      <c r="E19" s="72" t="s">
        <v>179</v>
      </c>
    </row>
    <row r="20" spans="1:8">
      <c r="A20" s="38" t="s">
        <v>47</v>
      </c>
      <c r="B20" s="38" t="s">
        <v>139</v>
      </c>
      <c r="D20" s="38" t="s">
        <v>137</v>
      </c>
      <c r="E20" s="72" t="s">
        <v>180</v>
      </c>
    </row>
    <row r="21" spans="1:8">
      <c r="A21" s="38" t="s">
        <v>48</v>
      </c>
      <c r="B21" s="38" t="s">
        <v>140</v>
      </c>
      <c r="D21" s="38" t="s">
        <v>79</v>
      </c>
      <c r="E21" s="72" t="s">
        <v>170</v>
      </c>
    </row>
    <row r="22" spans="1:8" ht="26.25">
      <c r="A22" s="38" t="s">
        <v>49</v>
      </c>
      <c r="B22" s="38" t="s">
        <v>141</v>
      </c>
      <c r="D22" s="38" t="s">
        <v>82</v>
      </c>
      <c r="E22" s="72" t="s">
        <v>181</v>
      </c>
    </row>
    <row r="23" spans="1:8" ht="26.25">
      <c r="A23" s="38" t="s">
        <v>16</v>
      </c>
      <c r="B23" s="38" t="s">
        <v>153</v>
      </c>
      <c r="D23" s="38" t="s">
        <v>83</v>
      </c>
      <c r="E23" s="72" t="s">
        <v>182</v>
      </c>
    </row>
    <row r="24" spans="1:8" ht="26.25">
      <c r="A24" s="38" t="s">
        <v>17</v>
      </c>
      <c r="B24" s="38" t="s">
        <v>251</v>
      </c>
      <c r="D24" s="36" t="s">
        <v>85</v>
      </c>
      <c r="E24" s="36" t="s">
        <v>183</v>
      </c>
    </row>
    <row r="25" spans="1:8">
      <c r="A25" s="38" t="s">
        <v>60</v>
      </c>
      <c r="B25" s="38" t="s">
        <v>154</v>
      </c>
      <c r="D25" s="68" t="s">
        <v>86</v>
      </c>
      <c r="E25" s="68" t="s">
        <v>184</v>
      </c>
    </row>
    <row r="26" spans="1:8">
      <c r="A26" s="38" t="s">
        <v>50</v>
      </c>
      <c r="B26" s="38" t="s">
        <v>156</v>
      </c>
      <c r="D26" s="36" t="s">
        <v>69</v>
      </c>
      <c r="E26" s="36" t="s">
        <v>164</v>
      </c>
    </row>
    <row r="27" spans="1:8">
      <c r="A27" s="38" t="s">
        <v>63</v>
      </c>
      <c r="B27" s="38" t="s">
        <v>160</v>
      </c>
      <c r="D27" s="38" t="s">
        <v>87</v>
      </c>
      <c r="E27" s="38" t="s">
        <v>185</v>
      </c>
    </row>
    <row r="28" spans="1:8">
      <c r="A28" s="38" t="s">
        <v>61</v>
      </c>
      <c r="B28" s="38" t="s">
        <v>155</v>
      </c>
      <c r="D28" s="38" t="s">
        <v>88</v>
      </c>
      <c r="E28" s="38" t="s">
        <v>186</v>
      </c>
    </row>
    <row r="29" spans="1:8">
      <c r="A29" s="38" t="s">
        <v>51</v>
      </c>
      <c r="B29" s="38" t="s">
        <v>161</v>
      </c>
      <c r="D29" s="38" t="s">
        <v>73</v>
      </c>
      <c r="E29" s="72" t="s">
        <v>171</v>
      </c>
    </row>
    <row r="30" spans="1:8">
      <c r="A30" s="38" t="s">
        <v>52</v>
      </c>
      <c r="B30" s="38" t="s">
        <v>52</v>
      </c>
      <c r="D30" s="38" t="s">
        <v>115</v>
      </c>
      <c r="E30" s="72" t="s">
        <v>187</v>
      </c>
    </row>
    <row r="31" spans="1:8">
      <c r="A31" s="38" t="s">
        <v>53</v>
      </c>
      <c r="B31" s="38" t="s">
        <v>157</v>
      </c>
      <c r="D31" s="38" t="s">
        <v>90</v>
      </c>
      <c r="E31" s="72" t="s">
        <v>188</v>
      </c>
    </row>
    <row r="32" spans="1:8">
      <c r="A32" s="38" t="s">
        <v>228</v>
      </c>
      <c r="B32" s="38" t="s">
        <v>159</v>
      </c>
      <c r="D32" s="38" t="s">
        <v>99</v>
      </c>
      <c r="E32" s="72" t="s">
        <v>189</v>
      </c>
    </row>
    <row r="33" spans="1:5">
      <c r="A33" s="38" t="s">
        <v>229</v>
      </c>
      <c r="B33" s="38" t="s">
        <v>158</v>
      </c>
      <c r="D33" s="38" t="s">
        <v>114</v>
      </c>
      <c r="E33" s="72" t="s">
        <v>190</v>
      </c>
    </row>
    <row r="34" spans="1:5">
      <c r="A34" s="163" t="s">
        <v>235</v>
      </c>
      <c r="B34" s="164"/>
      <c r="D34" s="38" t="s">
        <v>132</v>
      </c>
      <c r="E34" s="72" t="s">
        <v>191</v>
      </c>
    </row>
    <row r="35" spans="1:5" ht="39">
      <c r="A35" s="72" t="s">
        <v>236</v>
      </c>
      <c r="B35" s="72" t="s">
        <v>234</v>
      </c>
      <c r="D35" s="38" t="s">
        <v>91</v>
      </c>
      <c r="E35" s="72" t="s">
        <v>192</v>
      </c>
    </row>
    <row r="36" spans="1:5" ht="51.75">
      <c r="A36" s="72" t="s">
        <v>249</v>
      </c>
      <c r="B36" s="72" t="s">
        <v>250</v>
      </c>
      <c r="D36" s="38" t="s">
        <v>133</v>
      </c>
      <c r="E36" s="72" t="s">
        <v>193</v>
      </c>
    </row>
    <row r="37" spans="1:5" ht="51.75">
      <c r="A37" s="72" t="s">
        <v>252</v>
      </c>
      <c r="B37" s="72" t="s">
        <v>254</v>
      </c>
      <c r="D37" s="38" t="s">
        <v>113</v>
      </c>
      <c r="E37" s="72" t="s">
        <v>194</v>
      </c>
    </row>
    <row r="38" spans="1:5" ht="26.25">
      <c r="A38" s="72" t="s">
        <v>253</v>
      </c>
      <c r="B38" s="72" t="s">
        <v>255</v>
      </c>
      <c r="D38" s="38" t="s">
        <v>118</v>
      </c>
      <c r="E38" s="72" t="s">
        <v>195</v>
      </c>
    </row>
    <row r="39" spans="1:5">
      <c r="D39" s="38" t="s">
        <v>89</v>
      </c>
      <c r="E39" s="72" t="s">
        <v>196</v>
      </c>
    </row>
    <row r="40" spans="1:5">
      <c r="D40" s="36" t="s">
        <v>78</v>
      </c>
      <c r="E40" s="74" t="s">
        <v>197</v>
      </c>
    </row>
    <row r="41" spans="1:5">
      <c r="D41" s="38" t="s">
        <v>88</v>
      </c>
      <c r="E41" s="72" t="s">
        <v>186</v>
      </c>
    </row>
    <row r="42" spans="1:5">
      <c r="D42" s="38" t="s">
        <v>92</v>
      </c>
      <c r="E42" s="72" t="s">
        <v>171</v>
      </c>
    </row>
    <row r="43" spans="1:5">
      <c r="D43" s="38" t="s">
        <v>99</v>
      </c>
      <c r="E43" s="72" t="s">
        <v>189</v>
      </c>
    </row>
    <row r="44" spans="1:5">
      <c r="D44" s="38" t="s">
        <v>115</v>
      </c>
      <c r="E44" s="72" t="s">
        <v>198</v>
      </c>
    </row>
    <row r="45" spans="1:5">
      <c r="D45" s="38" t="s">
        <v>98</v>
      </c>
      <c r="E45" s="72" t="s">
        <v>199</v>
      </c>
    </row>
    <row r="46" spans="1:5">
      <c r="D46" s="38" t="s">
        <v>114</v>
      </c>
      <c r="E46" s="72" t="s">
        <v>190</v>
      </c>
    </row>
    <row r="47" spans="1:5">
      <c r="D47" s="38" t="s">
        <v>123</v>
      </c>
      <c r="E47" s="72" t="s">
        <v>200</v>
      </c>
    </row>
    <row r="48" spans="1:5">
      <c r="D48" s="38" t="s">
        <v>117</v>
      </c>
      <c r="E48" s="72" t="s">
        <v>201</v>
      </c>
    </row>
    <row r="49" spans="4:5">
      <c r="D49" s="38" t="s">
        <v>132</v>
      </c>
      <c r="E49" s="72" t="s">
        <v>191</v>
      </c>
    </row>
    <row r="50" spans="4:5">
      <c r="D50" s="38" t="s">
        <v>136</v>
      </c>
      <c r="E50" s="72" t="s">
        <v>170</v>
      </c>
    </row>
    <row r="51" spans="4:5">
      <c r="D51" s="38" t="s">
        <v>100</v>
      </c>
      <c r="E51" s="72" t="s">
        <v>202</v>
      </c>
    </row>
    <row r="52" spans="4:5">
      <c r="D52" s="36" t="s">
        <v>101</v>
      </c>
      <c r="E52" s="74" t="s">
        <v>203</v>
      </c>
    </row>
    <row r="53" spans="4:5">
      <c r="D53" s="38" t="s">
        <v>102</v>
      </c>
      <c r="E53" s="72" t="s">
        <v>204</v>
      </c>
    </row>
    <row r="54" spans="4:5">
      <c r="D54" s="38" t="s">
        <v>103</v>
      </c>
      <c r="E54" s="72" t="s">
        <v>205</v>
      </c>
    </row>
    <row r="55" spans="4:5">
      <c r="D55" s="38" t="s">
        <v>104</v>
      </c>
      <c r="E55" s="72" t="s">
        <v>206</v>
      </c>
    </row>
    <row r="56" spans="4:5">
      <c r="D56" s="38" t="s">
        <v>208</v>
      </c>
      <c r="E56" s="72" t="s">
        <v>209</v>
      </c>
    </row>
    <row r="57" spans="4:5">
      <c r="D57" s="38" t="s">
        <v>105</v>
      </c>
      <c r="E57" s="72" t="s">
        <v>210</v>
      </c>
    </row>
    <row r="58" spans="4:5">
      <c r="D58" s="38" t="s">
        <v>112</v>
      </c>
      <c r="E58" s="72" t="s">
        <v>207</v>
      </c>
    </row>
    <row r="59" spans="4:5">
      <c r="D59" s="38" t="s">
        <v>116</v>
      </c>
      <c r="E59" s="72" t="s">
        <v>211</v>
      </c>
    </row>
    <row r="60" spans="4:5">
      <c r="D60" s="38" t="s">
        <v>106</v>
      </c>
      <c r="E60" s="72" t="s">
        <v>212</v>
      </c>
    </row>
    <row r="61" spans="4:5">
      <c r="D61" s="36" t="s">
        <v>107</v>
      </c>
      <c r="E61" s="74" t="s">
        <v>213</v>
      </c>
    </row>
    <row r="62" spans="4:5">
      <c r="D62" s="38" t="s">
        <v>108</v>
      </c>
      <c r="E62" s="72" t="s">
        <v>214</v>
      </c>
    </row>
    <row r="63" spans="4:5">
      <c r="D63" s="36" t="s">
        <v>109</v>
      </c>
      <c r="E63" s="74" t="s">
        <v>215</v>
      </c>
    </row>
  </sheetData>
  <mergeCells count="1">
    <mergeCell ref="A34:B34"/>
  </mergeCells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showGridLines="0" zoomScaleNormal="100" workbookViewId="0">
      <pane xSplit="1" ySplit="4" topLeftCell="L5" activePane="bottomRight" state="frozen"/>
      <selection pane="topRight" activeCell="C1" sqref="C1"/>
      <selection pane="bottomLeft" activeCell="A4" sqref="A4"/>
      <selection pane="bottomRight" activeCell="AD32" sqref="AD32"/>
    </sheetView>
  </sheetViews>
  <sheetFormatPr defaultRowHeight="15"/>
  <cols>
    <col min="1" max="1" width="64.5703125" customWidth="1"/>
    <col min="2" max="3" width="9" customWidth="1"/>
    <col min="4" max="4" width="10" customWidth="1"/>
    <col min="5" max="5" width="8.7109375" customWidth="1"/>
    <col min="6" max="6" width="9.140625" customWidth="1"/>
    <col min="7" max="24" width="9" customWidth="1"/>
    <col min="26" max="29" width="9.140625" customWidth="1"/>
    <col min="31" max="31" width="9.140625" customWidth="1"/>
  </cols>
  <sheetData>
    <row r="1" spans="1:31" ht="19.5" customHeight="1"/>
    <row r="2" spans="1:31" ht="24" customHeight="1">
      <c r="D2" s="73"/>
    </row>
    <row r="3" spans="1:31" ht="21" customHeight="1">
      <c r="A3" s="103"/>
      <c r="B3" s="39" t="s">
        <v>34</v>
      </c>
      <c r="C3" s="39" t="s">
        <v>35</v>
      </c>
      <c r="D3" s="39" t="s">
        <v>36</v>
      </c>
      <c r="E3" s="39" t="s">
        <v>37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38</v>
      </c>
      <c r="K3" s="39" t="s">
        <v>39</v>
      </c>
      <c r="L3" s="39" t="s">
        <v>40</v>
      </c>
      <c r="M3" s="39" t="s">
        <v>41</v>
      </c>
      <c r="N3" s="39" t="s">
        <v>42</v>
      </c>
      <c r="O3" s="39" t="s">
        <v>8</v>
      </c>
      <c r="P3" s="39" t="s">
        <v>9</v>
      </c>
      <c r="Q3" s="39" t="s">
        <v>10</v>
      </c>
      <c r="R3" s="39" t="s">
        <v>11</v>
      </c>
      <c r="S3" s="39" t="s">
        <v>12</v>
      </c>
      <c r="T3" s="39" t="s">
        <v>13</v>
      </c>
      <c r="U3" s="39" t="s">
        <v>14</v>
      </c>
      <c r="V3" s="39" t="s">
        <v>15</v>
      </c>
      <c r="W3" s="39" t="s">
        <v>43</v>
      </c>
      <c r="X3" s="45" t="s">
        <v>260</v>
      </c>
    </row>
    <row r="4" spans="1:31" ht="21" customHeight="1">
      <c r="A4" s="99" t="str">
        <f>IF(Menu!D18="Português",Apoio!A1,Apoio!B1)</f>
        <v>DRE Eternit S. A. Consolidado (em R$ mil)</v>
      </c>
      <c r="B4" s="104" t="str">
        <f>IF(Menu!$D18="Português",DRE!B$3,LEFT(B3,1)&amp;"Q"&amp;RIGHT(B3,LEN(B3)-FIND("T",B3)))</f>
        <v>1T19</v>
      </c>
      <c r="C4" s="104" t="str">
        <f>IF(Menu!$D18="Português",DRE!C$3,LEFT(C3,1)&amp;"Q"&amp;RIGHT(C3,LEN(C3)-FIND("T",C3)))</f>
        <v>2T19</v>
      </c>
      <c r="D4" s="104" t="str">
        <f>IF(Menu!$D18="Português",DRE!D$3,LEFT(D3,1)&amp;"Q"&amp;RIGHT(D3,LEN(D3)-FIND("T",D3)))</f>
        <v>3T19</v>
      </c>
      <c r="E4" s="105" t="str">
        <f>IF(Menu!$D18="Português",DRE!E$3,LEFT(E3,1)&amp;"Q"&amp;RIGHT(E3,LEN(E3)-FIND("T",E3)))</f>
        <v>4T19</v>
      </c>
      <c r="F4" s="106" t="str">
        <f>IF(Menu!$D18="Português",DRE!F$3,LEFT(F3,1)&amp;"Q"&amp;RIGHT(F3,LEN(F3)-FIND("T",F3)))</f>
        <v>1T20</v>
      </c>
      <c r="G4" s="104" t="str">
        <f>IF(Menu!$D18="Português",DRE!G$3,LEFT(G3,1)&amp;"Q"&amp;RIGHT(G3,LEN(G3)-FIND("T",G3)))</f>
        <v>2T20</v>
      </c>
      <c r="H4" s="104" t="str">
        <f>IF(Menu!$D18="Português",DRE!H$3,LEFT(H3,1)&amp;"Q"&amp;RIGHT(H3,LEN(H3)-FIND("T",H3)))</f>
        <v>3T20</v>
      </c>
      <c r="I4" s="105" t="str">
        <f>IF(Menu!$D18="Português",DRE!I$3,LEFT(I3,1)&amp;"Q"&amp;RIGHT(I3,LEN(I3)-FIND("T",I3)))</f>
        <v>4T20</v>
      </c>
      <c r="J4" s="106" t="str">
        <f>IF(Menu!$D18="Português",DRE!J$3,LEFT(J3,1)&amp;"Q"&amp;RIGHT(J3,LEN(J3)-FIND("T",J3)))</f>
        <v>1T21</v>
      </c>
      <c r="K4" s="104" t="str">
        <f>IF(Menu!$D18="Português",DRE!K$3,LEFT(K3,1)&amp;"Q"&amp;RIGHT(K3,LEN(K3)-FIND("T",K3)))</f>
        <v>2T21</v>
      </c>
      <c r="L4" s="104" t="str">
        <f>IF(Menu!$D18="Português",DRE!L$3,LEFT(L3,1)&amp;"Q"&amp;RIGHT(L3,LEN(L3)-FIND("T",L3)))</f>
        <v>3T21</v>
      </c>
      <c r="M4" s="105" t="str">
        <f>IF(Menu!$D18="Português",DRE!M$3,LEFT(M3,1)&amp;"Q"&amp;RIGHT(M3,LEN(M3)-FIND("T",M3)))</f>
        <v>4T21</v>
      </c>
      <c r="N4" s="106" t="str">
        <f>IF(Menu!$D18="Português",DRE!N$3,LEFT(N3,1)&amp;"Q"&amp;RIGHT(N3,LEN(N3)-FIND("T",N3)))</f>
        <v>1T22</v>
      </c>
      <c r="O4" s="104" t="str">
        <f>IF(Menu!$D18="Português",DRE!O$3,LEFT(O3,1)&amp;"Q"&amp;RIGHT(O3,LEN(O3)-FIND("T",O3)))</f>
        <v>2T22</v>
      </c>
      <c r="P4" s="104" t="str">
        <f>IF(Menu!$D18="Português",DRE!P$3,LEFT(P3,1)&amp;"Q"&amp;RIGHT(P3,LEN(P3)-FIND("T",P3)))</f>
        <v>3T22</v>
      </c>
      <c r="Q4" s="105" t="str">
        <f>IF(Menu!$D18="Português",DRE!Q$3,LEFT(Q3,1)&amp;"Q"&amp;RIGHT(Q3,LEN(Q3)-FIND("T",Q3)))</f>
        <v>4T22</v>
      </c>
      <c r="R4" s="106" t="str">
        <f>IF(Menu!$D18="Português",DRE!R$3,LEFT(R3,1)&amp;"Q"&amp;RIGHT(R3,LEN(R3)-FIND("T",R3)))</f>
        <v>1T23</v>
      </c>
      <c r="S4" s="104" t="str">
        <f>IF(Menu!$D18="Português",DRE!S$3,LEFT(S3,1)&amp;"Q"&amp;RIGHT(S3,LEN(S3)-FIND("T",S3)))</f>
        <v>2T23</v>
      </c>
      <c r="T4" s="104" t="str">
        <f>IF(Menu!$D18="Português",DRE!T$3,LEFT(T3,1)&amp;"Q"&amp;RIGHT(T3,LEN(T3)-FIND("T",T3)))</f>
        <v>3T23</v>
      </c>
      <c r="U4" s="105" t="str">
        <f>IF(Menu!$D18="Português",DRE!U$3,LEFT(U3,1)&amp;"Q"&amp;RIGHT(U3,LEN(U3)-FIND("T",U3)))</f>
        <v>4T23</v>
      </c>
      <c r="V4" s="106" t="str">
        <f>IF(Menu!$D18="Português",DRE!V$3,LEFT(V3,1)&amp;"Q"&amp;RIGHT(V3,LEN(V3)-FIND("T",V3)))</f>
        <v>1T24</v>
      </c>
      <c r="W4" s="104" t="str">
        <f>IF(Menu!$D18="Português",DRE!W$3,LEFT(W3,1)&amp;"Q"&amp;RIGHT(W3,LEN(W3)-FIND("T",W3)))</f>
        <v>2T24</v>
      </c>
      <c r="X4" s="104" t="str">
        <f>IF(Menu!$D18="Português",DRE!X$3,LEFT(X3,1)&amp;"Q"&amp;RIGHT(X3,LEN(X3)-FIND("T",X3)))</f>
        <v>3T24</v>
      </c>
      <c r="Z4" s="145">
        <v>2019</v>
      </c>
      <c r="AA4" s="145">
        <v>2020</v>
      </c>
      <c r="AB4" s="145">
        <v>2021</v>
      </c>
      <c r="AC4" s="145">
        <v>2022</v>
      </c>
      <c r="AD4" s="145">
        <v>2023</v>
      </c>
      <c r="AE4" s="104" t="s">
        <v>262</v>
      </c>
    </row>
    <row r="5" spans="1:31">
      <c r="A5" s="100" t="str">
        <f>IF(Menu!D18="Português",Apoio!A2,Apoio!B2)</f>
        <v>Receita Bruta</v>
      </c>
      <c r="B5" s="107">
        <v>156639</v>
      </c>
      <c r="C5" s="108">
        <f>(311005+889)-B5</f>
        <v>155255</v>
      </c>
      <c r="D5" s="108">
        <v>167227</v>
      </c>
      <c r="E5" s="109">
        <v>159541</v>
      </c>
      <c r="F5" s="110">
        <v>146786</v>
      </c>
      <c r="G5" s="108">
        <v>173463</v>
      </c>
      <c r="H5" s="108">
        <v>254124</v>
      </c>
      <c r="I5" s="109">
        <v>285995</v>
      </c>
      <c r="J5" s="110">
        <v>338614</v>
      </c>
      <c r="K5" s="8">
        <f>689260-J5-1</f>
        <v>350645</v>
      </c>
      <c r="L5" s="8">
        <v>344131</v>
      </c>
      <c r="M5" s="9">
        <v>359741</v>
      </c>
      <c r="N5" s="131">
        <v>324291</v>
      </c>
      <c r="O5" s="8">
        <v>351034</v>
      </c>
      <c r="P5" s="8">
        <v>388640</v>
      </c>
      <c r="Q5" s="9">
        <v>379701</v>
      </c>
      <c r="R5" s="131">
        <v>360276</v>
      </c>
      <c r="S5" s="8">
        <v>316883</v>
      </c>
      <c r="T5" s="8">
        <v>353183</v>
      </c>
      <c r="U5" s="9">
        <v>343257</v>
      </c>
      <c r="V5" s="131">
        <v>325408</v>
      </c>
      <c r="W5" s="8">
        <v>336758</v>
      </c>
      <c r="X5" s="3">
        <v>401244</v>
      </c>
      <c r="Z5" s="1">
        <f>SUM(B5:E5)</f>
        <v>638662</v>
      </c>
      <c r="AA5" s="1">
        <f>SUM(F5:I5)</f>
        <v>860368</v>
      </c>
      <c r="AB5" s="1">
        <f>SUM(J5:M5)</f>
        <v>1393131</v>
      </c>
      <c r="AC5" s="1">
        <f>SUM(N5:Q5)</f>
        <v>1443666</v>
      </c>
      <c r="AD5" s="1">
        <f>SUM(R5:U5)</f>
        <v>1373599</v>
      </c>
      <c r="AE5" s="1">
        <f>SUM(V5:X5)</f>
        <v>1063410</v>
      </c>
    </row>
    <row r="6" spans="1:31">
      <c r="A6" s="101" t="str">
        <f>IF(Menu!D18="Português",Apoio!A3,Apoio!B3)</f>
        <v>Deduções da Receita</v>
      </c>
      <c r="B6" s="111">
        <v>-32959</v>
      </c>
      <c r="C6" s="112">
        <f>-(69664+1545)-B6</f>
        <v>-38250</v>
      </c>
      <c r="D6" s="112">
        <v>-39933</v>
      </c>
      <c r="E6" s="113">
        <v>-38849</v>
      </c>
      <c r="F6" s="112">
        <v>-33150</v>
      </c>
      <c r="G6" s="112">
        <v>-34268</v>
      </c>
      <c r="H6" s="112">
        <v>-52985</v>
      </c>
      <c r="I6" s="113">
        <v>-56542</v>
      </c>
      <c r="J6" s="112">
        <v>-68329</v>
      </c>
      <c r="K6" s="13">
        <f>-(131658)-J6+1</f>
        <v>-63328</v>
      </c>
      <c r="L6" s="13">
        <v>-68153</v>
      </c>
      <c r="M6" s="15">
        <f>-(270007)-SUM(J6:L6)</f>
        <v>-70197</v>
      </c>
      <c r="N6" s="12">
        <v>-64598</v>
      </c>
      <c r="O6" s="13">
        <f>-(123546)-N6</f>
        <v>-58948</v>
      </c>
      <c r="P6" s="13">
        <f>-(189137)-SUM(N6:O6)-1</f>
        <v>-65592</v>
      </c>
      <c r="Q6" s="14">
        <f>-(256281)-SUM(N6:P6)-2</f>
        <v>-67145</v>
      </c>
      <c r="R6" s="12">
        <v>-63900</v>
      </c>
      <c r="S6" s="13">
        <f>-(121198)-R6</f>
        <v>-57298</v>
      </c>
      <c r="T6" s="13">
        <f>-(3835+179556)-SUM(R6:S6)</f>
        <v>-62193</v>
      </c>
      <c r="U6" s="14">
        <f>-(4885+239501)-SUM(R6:T6)</f>
        <v>-60995</v>
      </c>
      <c r="V6" s="12">
        <f>-(982+57760)</f>
        <v>-58742</v>
      </c>
      <c r="W6" s="13">
        <v>-60298</v>
      </c>
      <c r="X6" s="13">
        <v>-69251</v>
      </c>
      <c r="Y6" s="127"/>
      <c r="Z6" s="2">
        <f>SUM(B6:E6)</f>
        <v>-149991</v>
      </c>
      <c r="AA6" s="2">
        <f>SUM(F6:I6)</f>
        <v>-176945</v>
      </c>
      <c r="AB6" s="2">
        <f>SUM(J6:M6)</f>
        <v>-270007</v>
      </c>
      <c r="AC6" s="2">
        <f>SUM(N6:Q6)</f>
        <v>-256283</v>
      </c>
      <c r="AD6" s="2">
        <f>SUM(R6:U6)</f>
        <v>-244386</v>
      </c>
      <c r="AE6" s="2">
        <f t="shared" ref="AE6:AE29" si="0">SUM(V6:X6)</f>
        <v>-188291</v>
      </c>
    </row>
    <row r="7" spans="1:31">
      <c r="A7" s="102" t="str">
        <f>IF(Menu!D18="Português",Apoio!A4,Apoio!B4)</f>
        <v>Receita líquida</v>
      </c>
      <c r="B7" s="107">
        <v>123680</v>
      </c>
      <c r="C7" s="108">
        <v>117005</v>
      </c>
      <c r="D7" s="108">
        <v>127294</v>
      </c>
      <c r="E7" s="109">
        <v>120692</v>
      </c>
      <c r="F7" s="107">
        <v>113636</v>
      </c>
      <c r="G7" s="108">
        <v>139195</v>
      </c>
      <c r="H7" s="108">
        <v>201139</v>
      </c>
      <c r="I7" s="109">
        <v>229453</v>
      </c>
      <c r="J7" s="107">
        <v>270285</v>
      </c>
      <c r="K7" s="8">
        <v>287317</v>
      </c>
      <c r="L7" s="8">
        <v>275978</v>
      </c>
      <c r="M7" s="10">
        <v>289545</v>
      </c>
      <c r="N7" s="132">
        <v>259693</v>
      </c>
      <c r="O7" s="8">
        <v>292086</v>
      </c>
      <c r="P7" s="8">
        <v>323048</v>
      </c>
      <c r="Q7" s="9">
        <v>312556</v>
      </c>
      <c r="R7" s="132">
        <v>296376</v>
      </c>
      <c r="S7" s="8">
        <v>259585</v>
      </c>
      <c r="T7" s="8">
        <v>290990</v>
      </c>
      <c r="U7" s="9">
        <v>282262</v>
      </c>
      <c r="V7" s="132">
        <v>266666</v>
      </c>
      <c r="W7" s="8">
        <v>276460</v>
      </c>
      <c r="X7" s="8">
        <v>331992</v>
      </c>
      <c r="Y7" s="127"/>
      <c r="Z7" s="1">
        <f>SUM(B7:E7)</f>
        <v>488671</v>
      </c>
      <c r="AA7" s="1">
        <f>SUM(F7:I7)</f>
        <v>683423</v>
      </c>
      <c r="AB7" s="1">
        <f>SUM(J7:M7)</f>
        <v>1123125</v>
      </c>
      <c r="AC7" s="1">
        <f>SUM(N7:Q7)</f>
        <v>1187383</v>
      </c>
      <c r="AD7" s="1">
        <f>SUM(R7:U7)</f>
        <v>1129213</v>
      </c>
      <c r="AE7" s="1">
        <f t="shared" si="0"/>
        <v>875118</v>
      </c>
    </row>
    <row r="8" spans="1:31" ht="22.5" customHeight="1">
      <c r="A8" s="101" t="str">
        <f>IF(Menu!D18="Português",Apoio!A5,Apoio!B5)</f>
        <v>Custos dos produtos e mercadorias vendidos e dos serviços prestados</v>
      </c>
      <c r="B8" s="111">
        <v>-103653</v>
      </c>
      <c r="C8" s="112">
        <v>-107239</v>
      </c>
      <c r="D8" s="112">
        <v>-114654</v>
      </c>
      <c r="E8" s="113">
        <v>-94555</v>
      </c>
      <c r="F8" s="111">
        <v>-93866</v>
      </c>
      <c r="G8" s="112">
        <v>-110921</v>
      </c>
      <c r="H8" s="112">
        <v>-124546</v>
      </c>
      <c r="I8" s="113">
        <v>-126746</v>
      </c>
      <c r="J8" s="111">
        <v>-149991</v>
      </c>
      <c r="K8" s="13">
        <v>-154486</v>
      </c>
      <c r="L8" s="13">
        <v>-157269</v>
      </c>
      <c r="M8" s="15">
        <v>-170329</v>
      </c>
      <c r="N8" s="12">
        <v>-173755</v>
      </c>
      <c r="O8" s="13">
        <v>-184628</v>
      </c>
      <c r="P8" s="13">
        <v>-223058</v>
      </c>
      <c r="Q8" s="14">
        <v>-234001</v>
      </c>
      <c r="R8" s="12">
        <v>-212852</v>
      </c>
      <c r="S8" s="13">
        <v>-192671</v>
      </c>
      <c r="T8" s="13">
        <v>-212761</v>
      </c>
      <c r="U8" s="14">
        <v>-220128</v>
      </c>
      <c r="V8" s="12">
        <v>-211217</v>
      </c>
      <c r="W8" s="13">
        <v>-218576</v>
      </c>
      <c r="X8" s="13">
        <v>-246642</v>
      </c>
      <c r="Y8" s="127"/>
      <c r="Z8" s="2">
        <f>SUM(B8:E8)</f>
        <v>-420101</v>
      </c>
      <c r="AA8" s="2">
        <f>SUM(F8:I8)</f>
        <v>-456079</v>
      </c>
      <c r="AB8" s="2">
        <f>SUM(J8:M8)</f>
        <v>-632075</v>
      </c>
      <c r="AC8" s="2">
        <f>SUM(N8:Q8)</f>
        <v>-815442</v>
      </c>
      <c r="AD8" s="2">
        <f>SUM(R8:U8)</f>
        <v>-838412</v>
      </c>
      <c r="AE8" s="2">
        <f t="shared" si="0"/>
        <v>-676435</v>
      </c>
    </row>
    <row r="9" spans="1:31">
      <c r="A9" s="143" t="str">
        <f>IF(Menu!$D$18="Português",Apoio!A6,Apoio!B6)</f>
        <v>Lucro (prejuízo) bruto</v>
      </c>
      <c r="B9" s="107">
        <v>20027</v>
      </c>
      <c r="C9" s="108">
        <v>9766</v>
      </c>
      <c r="D9" s="108">
        <v>12640</v>
      </c>
      <c r="E9" s="109">
        <v>26137</v>
      </c>
      <c r="F9" s="107">
        <v>19770</v>
      </c>
      <c r="G9" s="108">
        <v>28274</v>
      </c>
      <c r="H9" s="108">
        <v>76593</v>
      </c>
      <c r="I9" s="109">
        <v>102707</v>
      </c>
      <c r="J9" s="107">
        <v>120294</v>
      </c>
      <c r="K9" s="8">
        <v>132831</v>
      </c>
      <c r="L9" s="8">
        <v>118709</v>
      </c>
      <c r="M9" s="10">
        <v>119216</v>
      </c>
      <c r="N9" s="132">
        <v>85938</v>
      </c>
      <c r="O9" s="8">
        <v>107458</v>
      </c>
      <c r="P9" s="8">
        <v>99990</v>
      </c>
      <c r="Q9" s="9">
        <v>78555</v>
      </c>
      <c r="R9" s="132">
        <v>83524</v>
      </c>
      <c r="S9" s="8">
        <v>66914</v>
      </c>
      <c r="T9" s="8">
        <v>78229</v>
      </c>
      <c r="U9" s="9">
        <v>62134</v>
      </c>
      <c r="V9" s="132">
        <v>55449</v>
      </c>
      <c r="W9" s="8">
        <v>57884</v>
      </c>
      <c r="X9" s="8">
        <v>85350</v>
      </c>
      <c r="Z9" s="1">
        <f>SUM(B9:E9)</f>
        <v>68570</v>
      </c>
      <c r="AA9" s="1">
        <f>SUM(F9:I9)</f>
        <v>227344</v>
      </c>
      <c r="AB9" s="1">
        <f>SUM(J9:M9)</f>
        <v>491050</v>
      </c>
      <c r="AC9" s="1">
        <f>SUM(N9:Q9)</f>
        <v>371941</v>
      </c>
      <c r="AD9" s="1">
        <f>SUM(R9:U9)</f>
        <v>290801</v>
      </c>
      <c r="AE9" s="1">
        <f t="shared" si="0"/>
        <v>198683</v>
      </c>
    </row>
    <row r="10" spans="1:31">
      <c r="A10" s="114" t="str">
        <f>IF(Menu!$D$18="Português",Apoio!A7,Apoio!B7)</f>
        <v>Margem bruta</v>
      </c>
      <c r="B10" s="115">
        <v>0.16</v>
      </c>
      <c r="C10" s="116">
        <v>0.08</v>
      </c>
      <c r="D10" s="116">
        <v>0.1</v>
      </c>
      <c r="E10" s="117">
        <v>0.22</v>
      </c>
      <c r="F10" s="115">
        <v>0.17</v>
      </c>
      <c r="G10" s="116">
        <v>0.2</v>
      </c>
      <c r="H10" s="116">
        <v>0.38</v>
      </c>
      <c r="I10" s="117">
        <v>0.45</v>
      </c>
      <c r="J10" s="115">
        <v>0.45</v>
      </c>
      <c r="K10" s="133">
        <v>0.46</v>
      </c>
      <c r="L10" s="133">
        <v>0.43</v>
      </c>
      <c r="M10" s="134">
        <v>0.41</v>
      </c>
      <c r="N10" s="135">
        <v>0.33</v>
      </c>
      <c r="O10" s="133">
        <v>0.37</v>
      </c>
      <c r="P10" s="133">
        <v>0.31</v>
      </c>
      <c r="Q10" s="136">
        <v>0.25</v>
      </c>
      <c r="R10" s="135">
        <v>0.28000000000000003</v>
      </c>
      <c r="S10" s="133">
        <v>0.26</v>
      </c>
      <c r="T10" s="133">
        <v>0.27</v>
      </c>
      <c r="U10" s="136">
        <v>0.22</v>
      </c>
      <c r="V10" s="135">
        <v>0.21</v>
      </c>
      <c r="W10" s="133">
        <v>0.21</v>
      </c>
      <c r="X10" s="133">
        <v>0.26</v>
      </c>
      <c r="Z10" s="144">
        <f t="shared" ref="Z10:AD10" si="1">Z9/Z7</f>
        <v>0.14031935596751188</v>
      </c>
      <c r="AA10" s="144">
        <f t="shared" si="1"/>
        <v>0.33265488577352531</v>
      </c>
      <c r="AB10" s="144">
        <f t="shared" si="1"/>
        <v>0.43721758486366163</v>
      </c>
      <c r="AC10" s="144">
        <f t="shared" si="1"/>
        <v>0.31324433649462724</v>
      </c>
      <c r="AD10" s="144">
        <f t="shared" si="1"/>
        <v>0.25752537386657787</v>
      </c>
      <c r="AE10" s="144">
        <f>AE9/AE5</f>
        <v>0.18683574538512898</v>
      </c>
    </row>
    <row r="11" spans="1:31">
      <c r="A11" s="102" t="str">
        <f>IF(Menu!D18="Português",Apoio!A10,Apoio!B10)</f>
        <v>Receitas (despesas) operacionais¹</v>
      </c>
      <c r="B11" s="107">
        <v>-36948</v>
      </c>
      <c r="C11" s="110">
        <v>-30193</v>
      </c>
      <c r="D11" s="110">
        <v>20555</v>
      </c>
      <c r="E11" s="109">
        <v>4651</v>
      </c>
      <c r="F11" s="107">
        <v>-28388</v>
      </c>
      <c r="G11" s="110">
        <v>-5947</v>
      </c>
      <c r="H11" s="110">
        <v>-32061</v>
      </c>
      <c r="I11" s="109">
        <v>27666</v>
      </c>
      <c r="J11" s="107">
        <v>-42046</v>
      </c>
      <c r="K11" s="131">
        <v>-48150</v>
      </c>
      <c r="L11" s="131">
        <v>-5845</v>
      </c>
      <c r="M11" s="18">
        <v>-49360</v>
      </c>
      <c r="N11" s="132">
        <v>-26175</v>
      </c>
      <c r="O11" s="131">
        <v>-55242</v>
      </c>
      <c r="P11" s="131">
        <v>-51791</v>
      </c>
      <c r="Q11" s="137">
        <v>-62127</v>
      </c>
      <c r="R11" s="132">
        <v>-52107</v>
      </c>
      <c r="S11" s="131">
        <v>-64195</v>
      </c>
      <c r="T11" s="131">
        <v>-48309</v>
      </c>
      <c r="U11" s="137">
        <v>-51294</v>
      </c>
      <c r="V11" s="132">
        <v>-50520</v>
      </c>
      <c r="W11" s="8">
        <v>-36210</v>
      </c>
      <c r="X11" s="8">
        <v>-61198</v>
      </c>
      <c r="Z11" s="1">
        <f t="shared" ref="Z11:Z16" si="2">SUM(B11:E11)</f>
        <v>-41935</v>
      </c>
      <c r="AA11" s="1">
        <f t="shared" ref="AA11:AA16" si="3">SUM(F11:I11)</f>
        <v>-38730</v>
      </c>
      <c r="AB11" s="1">
        <f t="shared" ref="AB11:AB16" si="4">SUM(J11:M11)</f>
        <v>-145401</v>
      </c>
      <c r="AC11" s="1">
        <f t="shared" ref="AC11:AC16" si="5">SUM(N11:Q11)</f>
        <v>-195335</v>
      </c>
      <c r="AD11" s="1">
        <f t="shared" ref="AD11:AD16" si="6">SUM(R11:U11)</f>
        <v>-215905</v>
      </c>
      <c r="AE11" s="1">
        <f t="shared" si="0"/>
        <v>-147928</v>
      </c>
    </row>
    <row r="12" spans="1:31">
      <c r="A12" s="101" t="str">
        <f>IF(Menu!D18="Português",Apoio!A11,Apoio!B11)</f>
        <v>Despesas com vendas</v>
      </c>
      <c r="B12" s="111">
        <v>-13726</v>
      </c>
      <c r="C12" s="112">
        <v>-13243</v>
      </c>
      <c r="D12" s="112">
        <v>-13033</v>
      </c>
      <c r="E12" s="113">
        <v>-10696</v>
      </c>
      <c r="F12" s="111">
        <v>-10624</v>
      </c>
      <c r="G12" s="112">
        <v>-12526</v>
      </c>
      <c r="H12" s="112">
        <v>-15340</v>
      </c>
      <c r="I12" s="113">
        <v>-22009</v>
      </c>
      <c r="J12" s="111">
        <v>-18617</v>
      </c>
      <c r="K12" s="13">
        <v>-25189</v>
      </c>
      <c r="L12" s="13">
        <v>-21770</v>
      </c>
      <c r="M12" s="15">
        <v>-28565</v>
      </c>
      <c r="N12" s="12">
        <v>-22430</v>
      </c>
      <c r="O12" s="13">
        <v>-27469</v>
      </c>
      <c r="P12" s="13">
        <v>-27515</v>
      </c>
      <c r="Q12" s="14">
        <v>-31226</v>
      </c>
      <c r="R12" s="12">
        <v>-24360</v>
      </c>
      <c r="S12" s="13">
        <v>-35072</v>
      </c>
      <c r="T12" s="13">
        <v>-26117</v>
      </c>
      <c r="U12" s="14">
        <v>-29874</v>
      </c>
      <c r="V12" s="12">
        <v>-25033</v>
      </c>
      <c r="W12" s="13">
        <v>-28824</v>
      </c>
      <c r="X12" s="13">
        <v>-32063</v>
      </c>
      <c r="Z12" s="2">
        <f t="shared" si="2"/>
        <v>-50698</v>
      </c>
      <c r="AA12" s="2">
        <f t="shared" si="3"/>
        <v>-60499</v>
      </c>
      <c r="AB12" s="2">
        <f t="shared" si="4"/>
        <v>-94141</v>
      </c>
      <c r="AC12" s="2">
        <f t="shared" si="5"/>
        <v>-108640</v>
      </c>
      <c r="AD12" s="2">
        <f t="shared" si="6"/>
        <v>-115423</v>
      </c>
      <c r="AE12" s="2">
        <f t="shared" si="0"/>
        <v>-85920</v>
      </c>
    </row>
    <row r="13" spans="1:31">
      <c r="A13" s="101" t="str">
        <f>IF(Menu!D18="Português",Apoio!A12,Apoio!B12)</f>
        <v>Gerais e administrativas²</v>
      </c>
      <c r="B13" s="111">
        <v>-17747</v>
      </c>
      <c r="C13" s="112">
        <v>-13752</v>
      </c>
      <c r="D13" s="112">
        <v>-18190</v>
      </c>
      <c r="E13" s="113">
        <v>-19485</v>
      </c>
      <c r="F13" s="111">
        <v>-18448</v>
      </c>
      <c r="G13" s="112">
        <v>-15606</v>
      </c>
      <c r="H13" s="112">
        <v>-23416</v>
      </c>
      <c r="I13" s="113">
        <v>-24850</v>
      </c>
      <c r="J13" s="111">
        <v>-21085</v>
      </c>
      <c r="K13" s="13">
        <v>-21202</v>
      </c>
      <c r="L13" s="13">
        <v>-24119</v>
      </c>
      <c r="M13" s="15">
        <v>-30449</v>
      </c>
      <c r="N13" s="12">
        <v>-22092</v>
      </c>
      <c r="O13" s="13">
        <v>-27307</v>
      </c>
      <c r="P13" s="13">
        <v>-24737</v>
      </c>
      <c r="Q13" s="14">
        <v>-28511</v>
      </c>
      <c r="R13" s="12">
        <v>-23730</v>
      </c>
      <c r="S13" s="13">
        <v>-30515</v>
      </c>
      <c r="T13" s="13">
        <v>-25392</v>
      </c>
      <c r="U13" s="14">
        <v>-17126</v>
      </c>
      <c r="V13" s="12">
        <v>-23068</v>
      </c>
      <c r="W13" s="13">
        <v>-26264</v>
      </c>
      <c r="X13" s="13">
        <v>-32063</v>
      </c>
      <c r="Z13" s="2">
        <f t="shared" si="2"/>
        <v>-69174</v>
      </c>
      <c r="AA13" s="2">
        <f t="shared" si="3"/>
        <v>-82320</v>
      </c>
      <c r="AB13" s="2">
        <f t="shared" si="4"/>
        <v>-96855</v>
      </c>
      <c r="AC13" s="2">
        <f t="shared" si="5"/>
        <v>-102647</v>
      </c>
      <c r="AD13" s="2">
        <f t="shared" si="6"/>
        <v>-96763</v>
      </c>
      <c r="AE13" s="2">
        <f t="shared" si="0"/>
        <v>-81395</v>
      </c>
    </row>
    <row r="14" spans="1:31">
      <c r="A14" s="101" t="str">
        <f>IF(Menu!D18="Português",Apoio!A13,Apoio!B13)</f>
        <v>Outras receitas (despesas) operacionais</v>
      </c>
      <c r="B14" s="111">
        <v>-5475</v>
      </c>
      <c r="C14" s="112">
        <v>-3198</v>
      </c>
      <c r="D14" s="112">
        <v>51778</v>
      </c>
      <c r="E14" s="113">
        <v>34832</v>
      </c>
      <c r="F14" s="111">
        <v>684</v>
      </c>
      <c r="G14" s="112">
        <v>22185</v>
      </c>
      <c r="H14" s="112">
        <v>6695</v>
      </c>
      <c r="I14" s="113">
        <v>74525</v>
      </c>
      <c r="J14" s="111">
        <v>-2344</v>
      </c>
      <c r="K14" s="13">
        <v>-1759</v>
      </c>
      <c r="L14" s="13">
        <v>40044</v>
      </c>
      <c r="M14" s="15">
        <v>9654</v>
      </c>
      <c r="N14" s="12">
        <v>18347</v>
      </c>
      <c r="O14" s="13">
        <v>-466</v>
      </c>
      <c r="P14" s="13">
        <v>461</v>
      </c>
      <c r="Q14" s="14">
        <v>-2390</v>
      </c>
      <c r="R14" s="12">
        <v>-4017</v>
      </c>
      <c r="S14" s="13">
        <v>1392</v>
      </c>
      <c r="T14" s="13">
        <v>3200</v>
      </c>
      <c r="U14" s="14">
        <v>-4294</v>
      </c>
      <c r="V14" s="12">
        <v>-2419</v>
      </c>
      <c r="W14" s="13">
        <v>18878</v>
      </c>
      <c r="X14" s="13">
        <v>-2610</v>
      </c>
      <c r="Z14" s="2">
        <f t="shared" si="2"/>
        <v>77937</v>
      </c>
      <c r="AA14" s="2">
        <f t="shared" si="3"/>
        <v>104089</v>
      </c>
      <c r="AB14" s="2">
        <f t="shared" si="4"/>
        <v>45595</v>
      </c>
      <c r="AC14" s="2">
        <f t="shared" si="5"/>
        <v>15952</v>
      </c>
      <c r="AD14" s="2">
        <f t="shared" si="6"/>
        <v>-3719</v>
      </c>
      <c r="AE14" s="2">
        <f t="shared" si="0"/>
        <v>13849</v>
      </c>
    </row>
    <row r="15" spans="1:31">
      <c r="A15" s="101" t="str">
        <f>IF(Menu!$D$18="Português",Apoio!A16,Apoio!B16)</f>
        <v>Resultado da equivalência patrimonial</v>
      </c>
      <c r="B15" s="111">
        <v>-2825</v>
      </c>
      <c r="C15" s="112">
        <v>-4613</v>
      </c>
      <c r="D15" s="112">
        <v>18204</v>
      </c>
      <c r="E15" s="113">
        <v>0</v>
      </c>
      <c r="F15" s="111">
        <v>0</v>
      </c>
      <c r="G15" s="112">
        <v>0</v>
      </c>
      <c r="H15" s="112">
        <v>0</v>
      </c>
      <c r="I15" s="113">
        <v>0</v>
      </c>
      <c r="J15" s="111">
        <v>0</v>
      </c>
      <c r="K15" s="13">
        <v>0</v>
      </c>
      <c r="L15" s="13">
        <v>0</v>
      </c>
      <c r="M15" s="15">
        <v>0</v>
      </c>
      <c r="N15" s="12">
        <v>0</v>
      </c>
      <c r="O15" s="13">
        <v>0</v>
      </c>
      <c r="P15" s="13">
        <v>0</v>
      </c>
      <c r="Q15" s="14">
        <v>-7214</v>
      </c>
      <c r="R15" s="12">
        <v>-2937</v>
      </c>
      <c r="S15" s="13">
        <v>0</v>
      </c>
      <c r="T15" s="13">
        <v>0</v>
      </c>
      <c r="U15" s="14">
        <v>0</v>
      </c>
      <c r="V15" s="12">
        <v>0</v>
      </c>
      <c r="W15" s="13">
        <v>0</v>
      </c>
      <c r="X15" s="13">
        <v>0</v>
      </c>
      <c r="Z15" s="2">
        <f t="shared" si="2"/>
        <v>10766</v>
      </c>
      <c r="AA15" s="2">
        <f t="shared" si="3"/>
        <v>0</v>
      </c>
      <c r="AB15" s="2">
        <f t="shared" si="4"/>
        <v>0</v>
      </c>
      <c r="AC15" s="2">
        <f t="shared" si="5"/>
        <v>-7214</v>
      </c>
      <c r="AD15" s="2">
        <f t="shared" si="6"/>
        <v>-2937</v>
      </c>
      <c r="AE15" s="2">
        <f t="shared" si="0"/>
        <v>0</v>
      </c>
    </row>
    <row r="16" spans="1:31">
      <c r="A16" s="102" t="str">
        <f>IF(Menu!$D$18="Português",Apoio!A18,Apoio!B18)</f>
        <v>Lucro (prejuízo) antes do resultado financeiro (EBIT**)</v>
      </c>
      <c r="B16" s="107">
        <v>-19746</v>
      </c>
      <c r="C16" s="108">
        <v>-25040</v>
      </c>
      <c r="D16" s="108">
        <v>51399</v>
      </c>
      <c r="E16" s="109">
        <v>30788</v>
      </c>
      <c r="F16" s="107">
        <v>-8618</v>
      </c>
      <c r="G16" s="108">
        <v>22327</v>
      </c>
      <c r="H16" s="108">
        <v>44532</v>
      </c>
      <c r="I16" s="109">
        <v>130373</v>
      </c>
      <c r="J16" s="107">
        <v>78248</v>
      </c>
      <c r="K16" s="8">
        <v>84681</v>
      </c>
      <c r="L16" s="8">
        <v>112864</v>
      </c>
      <c r="M16" s="9">
        <v>69856</v>
      </c>
      <c r="N16" s="132">
        <v>59763</v>
      </c>
      <c r="O16" s="8">
        <v>52216</v>
      </c>
      <c r="P16" s="8">
        <v>48199</v>
      </c>
      <c r="Q16" s="9">
        <v>16428</v>
      </c>
      <c r="R16" s="132">
        <v>31417</v>
      </c>
      <c r="S16" s="8">
        <v>2719</v>
      </c>
      <c r="T16" s="8">
        <v>29920</v>
      </c>
      <c r="U16" s="9">
        <v>10840</v>
      </c>
      <c r="V16" s="132">
        <v>4929</v>
      </c>
      <c r="W16" s="8">
        <v>21674</v>
      </c>
      <c r="X16" s="8">
        <v>24152</v>
      </c>
      <c r="Z16" s="1">
        <f t="shared" si="2"/>
        <v>37401</v>
      </c>
      <c r="AA16" s="1">
        <f t="shared" si="3"/>
        <v>188614</v>
      </c>
      <c r="AB16" s="1">
        <f t="shared" si="4"/>
        <v>345649</v>
      </c>
      <c r="AC16" s="1">
        <f t="shared" si="5"/>
        <v>176606</v>
      </c>
      <c r="AD16" s="1">
        <f t="shared" si="6"/>
        <v>74896</v>
      </c>
      <c r="AE16" s="1">
        <f t="shared" si="0"/>
        <v>50755</v>
      </c>
    </row>
    <row r="17" spans="1:31">
      <c r="A17" s="102" t="str">
        <f>IF(Menu!$D$18="Português",Apoio!A15,Apoio!B15)</f>
        <v>Margem EBIT</v>
      </c>
      <c r="B17" s="129">
        <v>-0.15965394566623545</v>
      </c>
      <c r="C17" s="138">
        <v>-0.21400794837827444</v>
      </c>
      <c r="D17" s="138">
        <f>D16/D7</f>
        <v>0.40378179647116125</v>
      </c>
      <c r="E17" s="142">
        <v>0.25509561528518876</v>
      </c>
      <c r="F17" s="129">
        <f>F16/F7</f>
        <v>-7.5838642683656587E-2</v>
      </c>
      <c r="G17" s="138">
        <f>G16/G7</f>
        <v>0.16040087646826395</v>
      </c>
      <c r="H17" s="138">
        <v>0.2213991319435813</v>
      </c>
      <c r="I17" s="133">
        <v>0.56819043551402681</v>
      </c>
      <c r="J17" s="129">
        <f>J16/J7</f>
        <v>0.28950182215069281</v>
      </c>
      <c r="K17" s="133">
        <v>0.28999999999999998</v>
      </c>
      <c r="L17" s="133">
        <v>0.41</v>
      </c>
      <c r="M17" s="136">
        <v>0.24</v>
      </c>
      <c r="N17" s="135">
        <v>0.23</v>
      </c>
      <c r="O17" s="133">
        <v>0.18</v>
      </c>
      <c r="P17" s="133">
        <v>0.15</v>
      </c>
      <c r="Q17" s="136">
        <v>0.05</v>
      </c>
      <c r="R17" s="139">
        <v>0.11</v>
      </c>
      <c r="S17" s="133">
        <v>0.01</v>
      </c>
      <c r="T17" s="133">
        <v>0.1</v>
      </c>
      <c r="U17" s="136">
        <v>0.04</v>
      </c>
      <c r="V17" s="139">
        <v>0.02</v>
      </c>
      <c r="W17" s="133">
        <v>0.08</v>
      </c>
      <c r="X17" s="133">
        <v>7.0000000000000007E-2</v>
      </c>
      <c r="Z17" s="144">
        <f>Z16/Z7</f>
        <v>7.653615622780971E-2</v>
      </c>
      <c r="AA17" s="144">
        <f t="shared" ref="AA17:AD17" si="7">AA16/AA7</f>
        <v>0.27598427328316433</v>
      </c>
      <c r="AB17" s="144">
        <f t="shared" si="7"/>
        <v>0.30775648302726766</v>
      </c>
      <c r="AC17" s="144">
        <f t="shared" si="7"/>
        <v>0.14873549646575704</v>
      </c>
      <c r="AD17" s="144">
        <f t="shared" si="7"/>
        <v>6.6325839323493438E-2</v>
      </c>
      <c r="AE17" s="144">
        <f>AE16/AE7</f>
        <v>5.7997892855592044E-2</v>
      </c>
    </row>
    <row r="18" spans="1:31">
      <c r="A18" s="102" t="str">
        <f>IF(Menu!$D$18="Português",Apoio!A19,Apoio!B19)</f>
        <v>Resultado financeiro líquido</v>
      </c>
      <c r="B18" s="107">
        <v>-5046</v>
      </c>
      <c r="C18" s="108">
        <v>-4250</v>
      </c>
      <c r="D18" s="108">
        <v>15488</v>
      </c>
      <c r="E18" s="109">
        <v>846</v>
      </c>
      <c r="F18" s="107">
        <v>-5596</v>
      </c>
      <c r="G18" s="108">
        <v>-5065</v>
      </c>
      <c r="H18" s="108">
        <v>2986</v>
      </c>
      <c r="I18" s="109">
        <v>12712</v>
      </c>
      <c r="J18" s="107">
        <v>2534</v>
      </c>
      <c r="K18" s="8">
        <v>-9091</v>
      </c>
      <c r="L18" s="8">
        <v>4859</v>
      </c>
      <c r="M18" s="10">
        <v>3073</v>
      </c>
      <c r="N18" s="132">
        <v>-8631</v>
      </c>
      <c r="O18" s="8">
        <v>4123</v>
      </c>
      <c r="P18" s="8">
        <v>122</v>
      </c>
      <c r="Q18" s="9">
        <v>-7214</v>
      </c>
      <c r="R18" s="132">
        <v>-2937</v>
      </c>
      <c r="S18" s="8">
        <v>-2097</v>
      </c>
      <c r="T18" s="8">
        <v>-1404</v>
      </c>
      <c r="U18" s="9">
        <v>-5496</v>
      </c>
      <c r="V18" s="132">
        <v>-1834</v>
      </c>
      <c r="W18" s="8">
        <v>-5452</v>
      </c>
      <c r="X18" s="8">
        <v>-5531</v>
      </c>
      <c r="Z18" s="1">
        <f t="shared" ref="Z18:Z24" si="8">SUM(B18:E18)</f>
        <v>7038</v>
      </c>
      <c r="AA18" s="1">
        <f t="shared" ref="AA18:AA24" si="9">SUM(F18:I18)</f>
        <v>5037</v>
      </c>
      <c r="AB18" s="1">
        <f t="shared" ref="AB18:AB24" si="10">SUM(J18:M18)</f>
        <v>1375</v>
      </c>
      <c r="AC18" s="1">
        <f t="shared" ref="AC18:AC24" si="11">SUM(N18:Q18)</f>
        <v>-11600</v>
      </c>
      <c r="AD18" s="1">
        <f t="shared" ref="AD18:AD24" si="12">SUM(R18:U18)</f>
        <v>-11934</v>
      </c>
      <c r="AE18" s="1">
        <f t="shared" si="0"/>
        <v>-12817</v>
      </c>
    </row>
    <row r="19" spans="1:31">
      <c r="A19" s="101" t="str">
        <f>IF(Menu!$D$18="Português",Apoio!A20,Apoio!B20)</f>
        <v>Despesas financeiras</v>
      </c>
      <c r="B19" s="111">
        <f>-(5858+4105)</f>
        <v>-9963</v>
      </c>
      <c r="C19" s="112">
        <f>-(10431+6388)-B19</f>
        <v>-6856</v>
      </c>
      <c r="D19" s="112">
        <f>-(25535)-SUM(B19:C19)</f>
        <v>-8716</v>
      </c>
      <c r="E19" s="113">
        <f>-(35015)-SUM(B19:D19)</f>
        <v>-9480</v>
      </c>
      <c r="F19" s="111">
        <v>-11150</v>
      </c>
      <c r="G19" s="112">
        <f>-(22893)-F19</f>
        <v>-11743</v>
      </c>
      <c r="H19" s="112">
        <f>-(16739)-SUM(F19:G19)</f>
        <v>6154</v>
      </c>
      <c r="I19" s="113">
        <f>-(19834)-SUM(F19:H19)</f>
        <v>-3095</v>
      </c>
      <c r="J19" s="111">
        <v>-4888</v>
      </c>
      <c r="K19" s="13">
        <f>-(7676)-J19</f>
        <v>-2788</v>
      </c>
      <c r="L19" s="13">
        <f>-(11202)-SUM(J19:K19)</f>
        <v>-3526</v>
      </c>
      <c r="M19" s="15">
        <f>-(14425)-SUM(J19:L19)</f>
        <v>-3223</v>
      </c>
      <c r="N19" s="12">
        <v>-4349</v>
      </c>
      <c r="O19" s="13">
        <f>-(9330)-N19</f>
        <v>-4981</v>
      </c>
      <c r="P19" s="13">
        <f>-(15011)-SUM(N19:O19)</f>
        <v>-5681</v>
      </c>
      <c r="Q19" s="14">
        <f>-(20151)-SUM(N19:P19)</f>
        <v>-5140</v>
      </c>
      <c r="R19" s="12">
        <v>-5525</v>
      </c>
      <c r="S19" s="13">
        <f>-(9805)-R19</f>
        <v>-4280</v>
      </c>
      <c r="T19" s="13">
        <f>-(17046)-SUM(R19:S19)</f>
        <v>-7241</v>
      </c>
      <c r="U19" s="14">
        <f>-(23486)-SUM(R19:T19)</f>
        <v>-6440</v>
      </c>
      <c r="V19" s="12">
        <v>-5421</v>
      </c>
      <c r="W19" s="13">
        <f>-(11235)-V19</f>
        <v>-5814</v>
      </c>
      <c r="X19" s="13">
        <v>-6963</v>
      </c>
      <c r="Z19" s="2">
        <f t="shared" si="8"/>
        <v>-35015</v>
      </c>
      <c r="AA19" s="2">
        <f t="shared" si="9"/>
        <v>-19834</v>
      </c>
      <c r="AB19" s="2">
        <f t="shared" si="10"/>
        <v>-14425</v>
      </c>
      <c r="AC19" s="2">
        <f t="shared" si="11"/>
        <v>-20151</v>
      </c>
      <c r="AD19" s="2">
        <f t="shared" si="12"/>
        <v>-23486</v>
      </c>
      <c r="AE19" s="2">
        <f t="shared" si="0"/>
        <v>-18198</v>
      </c>
    </row>
    <row r="20" spans="1:31">
      <c r="A20" s="101" t="str">
        <f>IF(Menu!$D$18="Português",Apoio!A21,Apoio!B21)</f>
        <v>Receitas financeiras</v>
      </c>
      <c r="B20" s="111">
        <f>1000+3917</f>
        <v>4917</v>
      </c>
      <c r="C20" s="112">
        <f>(1493+6030)-B20</f>
        <v>2606</v>
      </c>
      <c r="D20" s="112">
        <f>(31727)-SUM(B20:C20)</f>
        <v>24204</v>
      </c>
      <c r="E20" s="113">
        <f>(42053)-SUM(B20:D20)</f>
        <v>10326</v>
      </c>
      <c r="F20" s="111">
        <v>5554</v>
      </c>
      <c r="G20" s="112">
        <f>(12232)-F20</f>
        <v>6678</v>
      </c>
      <c r="H20" s="112">
        <f>(9064)-SUM(F20:G20)</f>
        <v>-3168</v>
      </c>
      <c r="I20" s="113">
        <f>(24871)-SUM(F20:H20)</f>
        <v>15807</v>
      </c>
      <c r="J20" s="111">
        <v>7422</v>
      </c>
      <c r="K20" s="13">
        <f>1119-J20</f>
        <v>-6303</v>
      </c>
      <c r="L20" s="13">
        <f>9504-SUM(J20:K20)</f>
        <v>8385</v>
      </c>
      <c r="M20" s="15">
        <f>(15800)-SUM(J20:L20)</f>
        <v>6296</v>
      </c>
      <c r="N20" s="12">
        <v>-4282</v>
      </c>
      <c r="O20" s="13">
        <f>4822-N20</f>
        <v>9104</v>
      </c>
      <c r="P20" s="13">
        <f>(10625)-SUM(N20:O20)</f>
        <v>5803</v>
      </c>
      <c r="Q20" s="14">
        <f>(8551)-SUM(N20:P20)</f>
        <v>-2074</v>
      </c>
      <c r="R20" s="12">
        <v>2588</v>
      </c>
      <c r="S20" s="13">
        <f>4771-R20</f>
        <v>2183</v>
      </c>
      <c r="T20" s="13">
        <f>10608-SUM(R20:S20)</f>
        <v>5837</v>
      </c>
      <c r="U20" s="14">
        <f>(11552)-SUM(R20:T20)</f>
        <v>944</v>
      </c>
      <c r="V20" s="12">
        <v>3587</v>
      </c>
      <c r="W20" s="13">
        <f>3949-V20</f>
        <v>362</v>
      </c>
      <c r="X20" s="13">
        <v>1432</v>
      </c>
      <c r="Y20" s="127"/>
      <c r="Z20" s="2">
        <f t="shared" si="8"/>
        <v>42053</v>
      </c>
      <c r="AA20" s="2">
        <f t="shared" si="9"/>
        <v>24871</v>
      </c>
      <c r="AB20" s="2">
        <f t="shared" si="10"/>
        <v>15800</v>
      </c>
      <c r="AC20" s="2">
        <f t="shared" si="11"/>
        <v>8551</v>
      </c>
      <c r="AD20" s="2">
        <f t="shared" si="12"/>
        <v>11552</v>
      </c>
      <c r="AE20" s="2">
        <f t="shared" si="0"/>
        <v>5381</v>
      </c>
    </row>
    <row r="21" spans="1:31">
      <c r="A21" s="102" t="str">
        <f>IF(Menu!$D$18="Português",Apoio!A22,Apoio!B22)</f>
        <v>Lucro antes do imposto de renda e da contribuição social</v>
      </c>
      <c r="B21" s="107">
        <v>-24792</v>
      </c>
      <c r="C21" s="108">
        <v>-29290</v>
      </c>
      <c r="D21" s="108">
        <v>66887</v>
      </c>
      <c r="E21" s="109">
        <v>31634</v>
      </c>
      <c r="F21" s="107">
        <v>-14214</v>
      </c>
      <c r="G21" s="108">
        <v>17262</v>
      </c>
      <c r="H21" s="108">
        <v>47518</v>
      </c>
      <c r="I21" s="109">
        <v>143085</v>
      </c>
      <c r="J21" s="107">
        <v>80782</v>
      </c>
      <c r="K21" s="8">
        <v>75590</v>
      </c>
      <c r="L21" s="8">
        <v>117723</v>
      </c>
      <c r="M21" s="10">
        <v>72929</v>
      </c>
      <c r="N21" s="132">
        <v>51132</v>
      </c>
      <c r="O21" s="8">
        <v>56339</v>
      </c>
      <c r="P21" s="8">
        <v>48321</v>
      </c>
      <c r="Q21" s="9">
        <v>9214</v>
      </c>
      <c r="R21" s="132">
        <v>28480</v>
      </c>
      <c r="S21" s="8">
        <v>622</v>
      </c>
      <c r="T21" s="8">
        <v>28516</v>
      </c>
      <c r="U21" s="9">
        <v>5344</v>
      </c>
      <c r="V21" s="132">
        <v>3095</v>
      </c>
      <c r="W21" s="8">
        <v>16222</v>
      </c>
      <c r="X21" s="8">
        <v>18621</v>
      </c>
      <c r="Y21" s="127"/>
      <c r="Z21" s="1">
        <f t="shared" si="8"/>
        <v>44439</v>
      </c>
      <c r="AA21" s="1">
        <f t="shared" si="9"/>
        <v>193651</v>
      </c>
      <c r="AB21" s="1">
        <f t="shared" si="10"/>
        <v>347024</v>
      </c>
      <c r="AC21" s="1">
        <f t="shared" si="11"/>
        <v>165006</v>
      </c>
      <c r="AD21" s="1">
        <f t="shared" si="12"/>
        <v>62962</v>
      </c>
      <c r="AE21" s="1">
        <f t="shared" si="0"/>
        <v>37938</v>
      </c>
    </row>
    <row r="22" spans="1:31">
      <c r="A22" s="101" t="str">
        <f>IF(Menu!$D$18="Português",Apoio!A23,Apoio!B23)</f>
        <v>Corrente</v>
      </c>
      <c r="B22" s="111">
        <v>-308</v>
      </c>
      <c r="C22" s="112">
        <v>-236</v>
      </c>
      <c r="D22" s="112">
        <v>-15961</v>
      </c>
      <c r="E22" s="113">
        <v>-224</v>
      </c>
      <c r="F22" s="111">
        <v>-361</v>
      </c>
      <c r="G22" s="112">
        <v>-4576</v>
      </c>
      <c r="H22" s="112">
        <v>-7559</v>
      </c>
      <c r="I22" s="113">
        <v>-9961</v>
      </c>
      <c r="J22" s="111">
        <v>-22344</v>
      </c>
      <c r="K22" s="13">
        <v>-16366</v>
      </c>
      <c r="L22" s="13">
        <v>-25785</v>
      </c>
      <c r="M22" s="15">
        <v>-14914</v>
      </c>
      <c r="N22" s="12">
        <v>-13988</v>
      </c>
      <c r="O22" s="13">
        <v>-20645</v>
      </c>
      <c r="P22" s="13">
        <v>-8707</v>
      </c>
      <c r="Q22" s="14">
        <v>2550</v>
      </c>
      <c r="R22" s="12">
        <v>-11228</v>
      </c>
      <c r="S22" s="13">
        <v>-2108</v>
      </c>
      <c r="T22" s="13">
        <v>-12413</v>
      </c>
      <c r="U22" s="14">
        <v>-2691</v>
      </c>
      <c r="V22" s="12">
        <v>-4090</v>
      </c>
      <c r="W22" s="13">
        <v>-6150</v>
      </c>
      <c r="X22" s="13">
        <v>-9185</v>
      </c>
      <c r="Y22" s="127"/>
      <c r="Z22" s="2">
        <f t="shared" si="8"/>
        <v>-16729</v>
      </c>
      <c r="AA22" s="2">
        <f t="shared" si="9"/>
        <v>-22457</v>
      </c>
      <c r="AB22" s="2">
        <f t="shared" si="10"/>
        <v>-79409</v>
      </c>
      <c r="AC22" s="2">
        <f t="shared" si="11"/>
        <v>-40790</v>
      </c>
      <c r="AD22" s="2">
        <f t="shared" si="12"/>
        <v>-28440</v>
      </c>
      <c r="AE22" s="2">
        <f t="shared" si="0"/>
        <v>-19425</v>
      </c>
    </row>
    <row r="23" spans="1:31">
      <c r="A23" s="101" t="str">
        <f>IF(Menu!$D$18="Português",Apoio!A24,Apoio!B24)</f>
        <v>Diferido</v>
      </c>
      <c r="B23" s="111">
        <v>-364</v>
      </c>
      <c r="C23" s="112">
        <v>-8</v>
      </c>
      <c r="D23" s="112">
        <v>-15266</v>
      </c>
      <c r="E23" s="113">
        <v>-24698</v>
      </c>
      <c r="F23" s="111">
        <v>-281</v>
      </c>
      <c r="G23" s="112">
        <v>-129</v>
      </c>
      <c r="H23" s="112">
        <v>-4</v>
      </c>
      <c r="I23" s="113">
        <v>-12047</v>
      </c>
      <c r="J23" s="111">
        <v>-4</v>
      </c>
      <c r="K23" s="13">
        <v>431</v>
      </c>
      <c r="L23" s="13">
        <v>6076</v>
      </c>
      <c r="M23" s="15">
        <v>-4672</v>
      </c>
      <c r="N23" s="12">
        <v>5153</v>
      </c>
      <c r="O23" s="13">
        <v>4652</v>
      </c>
      <c r="P23" s="13">
        <v>1426</v>
      </c>
      <c r="Q23" s="14">
        <v>2268</v>
      </c>
      <c r="R23" s="12">
        <v>4754</v>
      </c>
      <c r="S23" s="13">
        <v>2635</v>
      </c>
      <c r="T23" s="13">
        <v>4969</v>
      </c>
      <c r="U23" s="14">
        <v>80341</v>
      </c>
      <c r="V23" s="12">
        <v>1236</v>
      </c>
      <c r="W23" s="13">
        <v>1618</v>
      </c>
      <c r="X23" s="13">
        <v>9181</v>
      </c>
      <c r="Y23" s="127"/>
      <c r="Z23" s="2">
        <f t="shared" si="8"/>
        <v>-40336</v>
      </c>
      <c r="AA23" s="2">
        <f t="shared" si="9"/>
        <v>-12461</v>
      </c>
      <c r="AB23" s="2">
        <f t="shared" si="10"/>
        <v>1831</v>
      </c>
      <c r="AC23" s="2">
        <f t="shared" si="11"/>
        <v>13499</v>
      </c>
      <c r="AD23" s="2">
        <f t="shared" si="12"/>
        <v>92699</v>
      </c>
      <c r="AE23" s="2">
        <f t="shared" si="0"/>
        <v>12035</v>
      </c>
    </row>
    <row r="24" spans="1:31">
      <c r="A24" s="102" t="str">
        <f>IF(Menu!$D$18="Português",Apoio!A25,Apoio!B25)</f>
        <v>Lucro (Prejuízo) líquido do período</v>
      </c>
      <c r="B24" s="107">
        <v>-25464</v>
      </c>
      <c r="C24" s="108">
        <v>-29534</v>
      </c>
      <c r="D24" s="108">
        <v>35660</v>
      </c>
      <c r="E24" s="109">
        <v>6712</v>
      </c>
      <c r="F24" s="107">
        <v>-14856</v>
      </c>
      <c r="G24" s="108">
        <v>12557</v>
      </c>
      <c r="H24" s="108">
        <v>39955</v>
      </c>
      <c r="I24" s="109">
        <v>121077</v>
      </c>
      <c r="J24" s="107">
        <v>58434</v>
      </c>
      <c r="K24" s="8">
        <v>59655</v>
      </c>
      <c r="L24" s="8">
        <v>98014</v>
      </c>
      <c r="M24" s="10">
        <v>53343</v>
      </c>
      <c r="N24" s="132">
        <v>42297</v>
      </c>
      <c r="O24" s="8">
        <v>40346</v>
      </c>
      <c r="P24" s="8">
        <v>41040</v>
      </c>
      <c r="Q24" s="9">
        <v>14032</v>
      </c>
      <c r="R24" s="132">
        <v>22006</v>
      </c>
      <c r="S24" s="8">
        <v>1149</v>
      </c>
      <c r="T24" s="8">
        <v>21072</v>
      </c>
      <c r="U24" s="9">
        <v>82994</v>
      </c>
      <c r="V24" s="132">
        <v>241</v>
      </c>
      <c r="W24" s="8">
        <v>11690</v>
      </c>
      <c r="X24" s="8">
        <v>18617</v>
      </c>
      <c r="Z24" s="1">
        <f t="shared" si="8"/>
        <v>-12626</v>
      </c>
      <c r="AA24" s="1">
        <f t="shared" si="9"/>
        <v>158733</v>
      </c>
      <c r="AB24" s="1">
        <f t="shared" si="10"/>
        <v>269446</v>
      </c>
      <c r="AC24" s="1">
        <f t="shared" si="11"/>
        <v>137715</v>
      </c>
      <c r="AD24" s="1">
        <f t="shared" si="12"/>
        <v>127221</v>
      </c>
      <c r="AE24" s="1">
        <f t="shared" si="0"/>
        <v>30548</v>
      </c>
    </row>
    <row r="25" spans="1:31">
      <c r="A25" s="102" t="str">
        <f>IF(Menu!$D$18="Português",Apoio!A26,Apoio!B26)</f>
        <v>Margem líquida</v>
      </c>
      <c r="B25" s="128">
        <v>-0.20588615782664943</v>
      </c>
      <c r="C25" s="130">
        <v>-0.25241656339472673</v>
      </c>
      <c r="D25" s="116">
        <v>0.28000000000000003</v>
      </c>
      <c r="E25" s="117">
        <v>0.06</v>
      </c>
      <c r="F25" s="119">
        <v>-0.13</v>
      </c>
      <c r="G25" s="116">
        <v>0.09</v>
      </c>
      <c r="H25" s="116">
        <v>0.2</v>
      </c>
      <c r="I25" s="117">
        <v>0.52767669195870182</v>
      </c>
      <c r="J25" s="119">
        <v>0.22</v>
      </c>
      <c r="K25" s="133">
        <v>0.21</v>
      </c>
      <c r="L25" s="133">
        <v>0.36</v>
      </c>
      <c r="M25" s="134">
        <v>0.18</v>
      </c>
      <c r="N25" s="135">
        <v>0.16</v>
      </c>
      <c r="O25" s="133">
        <v>0.14000000000000001</v>
      </c>
      <c r="P25" s="133">
        <v>0.13</v>
      </c>
      <c r="Q25" s="136">
        <v>0.04</v>
      </c>
      <c r="R25" s="135">
        <v>7.0000000000000007E-2</v>
      </c>
      <c r="S25" s="133">
        <v>0</v>
      </c>
      <c r="T25" s="133">
        <v>7.0000000000000007E-2</v>
      </c>
      <c r="U25" s="136">
        <v>0.28999999999999998</v>
      </c>
      <c r="V25" s="135">
        <v>0</v>
      </c>
      <c r="W25" s="133">
        <v>0.04</v>
      </c>
      <c r="X25" s="133">
        <v>0.06</v>
      </c>
      <c r="Z25" s="144">
        <f>Z24/Z7</f>
        <v>-2.5837424361175514E-2</v>
      </c>
      <c r="AA25" s="144">
        <f t="shared" ref="AA25:AD25" si="13">AA24/AA7</f>
        <v>0.232261717852633</v>
      </c>
      <c r="AB25" s="144">
        <f t="shared" si="13"/>
        <v>0.23990740122426266</v>
      </c>
      <c r="AC25" s="144">
        <f t="shared" si="13"/>
        <v>0.1159819535903748</v>
      </c>
      <c r="AD25" s="144">
        <f t="shared" si="13"/>
        <v>0.11266342133857829</v>
      </c>
      <c r="AE25" s="144">
        <f>AE24/AE7</f>
        <v>3.4907292502268268E-2</v>
      </c>
    </row>
    <row r="26" spans="1:31">
      <c r="A26" s="101" t="str">
        <f>IF(Menu!D18="Português",Apoio!A29,Apoio!B29)</f>
        <v>Lucro líquido por ação - R$</v>
      </c>
      <c r="B26" s="121">
        <v>-0.8538</v>
      </c>
      <c r="C26" s="122">
        <v>-0.99029999999999996</v>
      </c>
      <c r="D26" s="122">
        <v>1.1226</v>
      </c>
      <c r="E26" s="123">
        <v>0.21129999999999999</v>
      </c>
      <c r="F26" s="121">
        <v>-0.4677</v>
      </c>
      <c r="G26" s="122">
        <v>0.39529999999999998</v>
      </c>
      <c r="H26" s="122">
        <v>0.77329999999999999</v>
      </c>
      <c r="I26" s="123">
        <v>2.3435000000000001</v>
      </c>
      <c r="J26" s="121">
        <v>1.131</v>
      </c>
      <c r="K26" s="20">
        <f>1.9116-J26</f>
        <v>0.78059999999999996</v>
      </c>
      <c r="L26" s="20">
        <f>3.4982-SUM(J26:K26)</f>
        <v>1.5866000000000002</v>
      </c>
      <c r="M26" s="22">
        <f>4.3612-SUM(J26:L26)</f>
        <v>0.86299999999999999</v>
      </c>
      <c r="N26" s="19">
        <v>0.68410000000000004</v>
      </c>
      <c r="O26" s="20">
        <f>(1.3367)-N26</f>
        <v>0.65259999999999996</v>
      </c>
      <c r="P26" s="20">
        <f>(2.0009)-SUM(N26:O26)</f>
        <v>0.66420000000000012</v>
      </c>
      <c r="Q26" s="21">
        <f>2.2278-SUM(N26:P26)</f>
        <v>0.22689999999999966</v>
      </c>
      <c r="R26" s="19">
        <v>0.35599999999999998</v>
      </c>
      <c r="S26" s="20">
        <v>0.37469999999999998</v>
      </c>
      <c r="T26" s="20">
        <v>0.71599999999999997</v>
      </c>
      <c r="U26" s="21">
        <f>2.0606-SUM(R26:T26)</f>
        <v>0.61390000000000011</v>
      </c>
      <c r="V26" s="19">
        <v>3.8999999999999998E-3</v>
      </c>
      <c r="W26" s="20">
        <v>0.19350000000000001</v>
      </c>
      <c r="X26" s="20">
        <v>0.30199999999999999</v>
      </c>
      <c r="Z26" s="151">
        <v>-0.4</v>
      </c>
      <c r="AA26" s="151">
        <v>3.07</v>
      </c>
      <c r="AB26" s="151">
        <v>4.3600000000000003</v>
      </c>
      <c r="AC26" s="151">
        <v>2.23</v>
      </c>
      <c r="AD26" s="151">
        <v>2.06</v>
      </c>
      <c r="AE26" s="151">
        <f t="shared" si="0"/>
        <v>0.49939999999999996</v>
      </c>
    </row>
    <row r="27" spans="1:31">
      <c r="A27" s="102" t="s">
        <v>52</v>
      </c>
      <c r="B27" s="107">
        <v>-16025</v>
      </c>
      <c r="C27" s="108">
        <v>-21148</v>
      </c>
      <c r="D27" s="108">
        <v>58721</v>
      </c>
      <c r="E27" s="109">
        <v>34367</v>
      </c>
      <c r="F27" s="107">
        <v>-4728</v>
      </c>
      <c r="G27" s="108">
        <v>27328</v>
      </c>
      <c r="H27" s="108">
        <v>50439</v>
      </c>
      <c r="I27" s="109">
        <v>135446</v>
      </c>
      <c r="J27" s="107">
        <v>82427</v>
      </c>
      <c r="K27" s="8">
        <v>88798</v>
      </c>
      <c r="L27" s="8">
        <v>116939</v>
      </c>
      <c r="M27" s="10">
        <v>73906</v>
      </c>
      <c r="N27" s="132">
        <v>64271</v>
      </c>
      <c r="O27" s="8">
        <v>56781</v>
      </c>
      <c r="P27" s="8">
        <v>53444</v>
      </c>
      <c r="Q27" s="9">
        <v>24332</v>
      </c>
      <c r="R27" s="132">
        <v>40681</v>
      </c>
      <c r="S27" s="8">
        <v>11574</v>
      </c>
      <c r="T27" s="8">
        <v>38930</v>
      </c>
      <c r="U27" s="9">
        <v>21363</v>
      </c>
      <c r="V27" s="132">
        <v>16695</v>
      </c>
      <c r="W27" s="8">
        <v>33830</v>
      </c>
      <c r="X27" s="8">
        <v>36001</v>
      </c>
      <c r="Z27" s="1">
        <f>SUM(B27:E27)</f>
        <v>55915</v>
      </c>
      <c r="AA27" s="1">
        <f>SUM(F27:I27)</f>
        <v>208485</v>
      </c>
      <c r="AB27" s="1">
        <f>SUM(J27:M27)</f>
        <v>362070</v>
      </c>
      <c r="AC27" s="1">
        <f>SUM(N27:Q27)</f>
        <v>198828</v>
      </c>
      <c r="AD27" s="1">
        <f>SUM(R27:U27)</f>
        <v>112548</v>
      </c>
      <c r="AE27" s="1">
        <f t="shared" si="0"/>
        <v>86526</v>
      </c>
    </row>
    <row r="28" spans="1:31">
      <c r="A28" s="120" t="str">
        <f>IF(Menu!D18="Português",Apoio!A31,Apoio!B31)</f>
        <v>Margem EBITDA</v>
      </c>
      <c r="B28" s="115">
        <v>-0.12956824062095731</v>
      </c>
      <c r="C28" s="116">
        <v>-0.18</v>
      </c>
      <c r="D28" s="116">
        <v>0.46</v>
      </c>
      <c r="E28" s="117">
        <v>0.28000000000000003</v>
      </c>
      <c r="F28" s="115">
        <v>-0.04</v>
      </c>
      <c r="G28" s="116">
        <v>0.2</v>
      </c>
      <c r="H28" s="116">
        <v>0.25</v>
      </c>
      <c r="I28" s="117">
        <v>0.59</v>
      </c>
      <c r="J28" s="115">
        <v>0.30496327950126717</v>
      </c>
      <c r="K28" s="133">
        <v>0.31</v>
      </c>
      <c r="L28" s="133">
        <v>0.423725804230772</v>
      </c>
      <c r="M28" s="134">
        <v>0.25524875235282946</v>
      </c>
      <c r="N28" s="135">
        <v>0.25</v>
      </c>
      <c r="O28" s="133">
        <v>0.19</v>
      </c>
      <c r="P28" s="133">
        <v>0.17</v>
      </c>
      <c r="Q28" s="136">
        <v>0.08</v>
      </c>
      <c r="R28" s="135">
        <v>0.14000000000000001</v>
      </c>
      <c r="S28" s="133">
        <v>0.04</v>
      </c>
      <c r="T28" s="133">
        <v>0.13</v>
      </c>
      <c r="U28" s="136">
        <v>0.08</v>
      </c>
      <c r="V28" s="135">
        <v>0.06</v>
      </c>
      <c r="W28" s="133">
        <v>0.12</v>
      </c>
      <c r="X28" s="133">
        <v>0.11</v>
      </c>
      <c r="Z28" s="144">
        <f>Z27/Z7</f>
        <v>0.11442258697569531</v>
      </c>
      <c r="AA28" s="144">
        <f>AA27/AA7</f>
        <v>0.3050599701795228</v>
      </c>
      <c r="AB28" s="144">
        <f>AB27/AB7</f>
        <v>0.3223772954924875</v>
      </c>
      <c r="AC28" s="144">
        <f>AC27/AC7</f>
        <v>0.16745060355420283</v>
      </c>
      <c r="AD28" s="144">
        <f>AD27/AD7</f>
        <v>9.966941577895401E-2</v>
      </c>
      <c r="AE28" s="144">
        <f>AE27/AE7</f>
        <v>9.887352334199502E-2</v>
      </c>
    </row>
    <row r="29" spans="1:31">
      <c r="A29" s="102" t="str">
        <f>IF(Menu!$D$18="Português",Apoio!A32,Apoio!B32)</f>
        <v>EBITDA recorrente</v>
      </c>
      <c r="B29" s="107">
        <v>-7797</v>
      </c>
      <c r="C29" s="108">
        <v>-5643</v>
      </c>
      <c r="D29" s="108">
        <v>2278</v>
      </c>
      <c r="E29" s="109">
        <v>-1365</v>
      </c>
      <c r="F29" s="107">
        <v>240</v>
      </c>
      <c r="G29" s="108">
        <v>7493</v>
      </c>
      <c r="H29" s="108">
        <v>46574</v>
      </c>
      <c r="I29" s="109">
        <v>67350</v>
      </c>
      <c r="J29" s="107">
        <v>84945</v>
      </c>
      <c r="K29" s="8">
        <v>91194</v>
      </c>
      <c r="L29" s="8">
        <v>84642</v>
      </c>
      <c r="M29" s="10">
        <v>76214</v>
      </c>
      <c r="N29" s="132">
        <v>48424</v>
      </c>
      <c r="O29" s="8">
        <v>58484</v>
      </c>
      <c r="P29" s="8">
        <v>56807</v>
      </c>
      <c r="Q29" s="9">
        <v>22778</v>
      </c>
      <c r="R29" s="132">
        <v>42394</v>
      </c>
      <c r="S29" s="8">
        <v>15688</v>
      </c>
      <c r="T29" s="8">
        <v>37265</v>
      </c>
      <c r="U29" s="9">
        <v>22648</v>
      </c>
      <c r="V29" s="132">
        <v>16955</v>
      </c>
      <c r="W29" s="8">
        <v>15598</v>
      </c>
      <c r="X29" s="8">
        <v>34543</v>
      </c>
      <c r="Z29" s="1">
        <f>SUM(B29:E29)</f>
        <v>-12527</v>
      </c>
      <c r="AA29" s="1">
        <f>SUM(F29:I29)</f>
        <v>121657</v>
      </c>
      <c r="AB29" s="1">
        <f>SUM(J29:M29)</f>
        <v>336995</v>
      </c>
      <c r="AC29" s="1">
        <f>SUM(N29:Q29)</f>
        <v>186493</v>
      </c>
      <c r="AD29" s="1">
        <f>SUM(R29:U29)</f>
        <v>117995</v>
      </c>
      <c r="AE29" s="1">
        <f t="shared" si="0"/>
        <v>67096</v>
      </c>
    </row>
    <row r="30" spans="1:31">
      <c r="A30" s="102" t="s">
        <v>259</v>
      </c>
      <c r="B30" s="124">
        <v>-0.06</v>
      </c>
      <c r="C30" s="125">
        <v>-0.05</v>
      </c>
      <c r="D30" s="125">
        <v>0.02</v>
      </c>
      <c r="E30" s="126">
        <v>-0.01</v>
      </c>
      <c r="F30" s="124">
        <v>0</v>
      </c>
      <c r="G30" s="125">
        <v>0.05</v>
      </c>
      <c r="H30" s="125">
        <v>0.23</v>
      </c>
      <c r="I30" s="126">
        <v>0.28999999999999998</v>
      </c>
      <c r="J30" s="124">
        <v>0.31427937177423831</v>
      </c>
      <c r="K30" s="140">
        <v>0.32</v>
      </c>
      <c r="L30" s="140">
        <v>0.30669836001420403</v>
      </c>
      <c r="M30" s="141">
        <v>0.26321987946605879</v>
      </c>
      <c r="N30" s="135">
        <v>0.19</v>
      </c>
      <c r="O30" s="133">
        <v>0.2</v>
      </c>
      <c r="P30" s="133">
        <v>0.18</v>
      </c>
      <c r="Q30" s="136">
        <v>7.0000000000000007E-2</v>
      </c>
      <c r="R30" s="135">
        <v>0.14000000000000001</v>
      </c>
      <c r="S30" s="133">
        <v>0.06</v>
      </c>
      <c r="T30" s="133">
        <v>0.13</v>
      </c>
      <c r="U30" s="136">
        <v>0.08</v>
      </c>
      <c r="V30" s="135">
        <v>0.06</v>
      </c>
      <c r="W30" s="133">
        <v>0.06</v>
      </c>
      <c r="X30" s="133">
        <v>0.1</v>
      </c>
      <c r="Z30" s="144">
        <f>Z29/Z7</f>
        <v>-2.5634834070366361E-2</v>
      </c>
      <c r="AA30" s="144">
        <f>AA29/AA7</f>
        <v>0.17801127559359284</v>
      </c>
      <c r="AB30" s="144">
        <f>AB29/AB7</f>
        <v>0.30005119643850864</v>
      </c>
      <c r="AC30" s="144">
        <f>AC29/AC7</f>
        <v>0.15706221160316428</v>
      </c>
      <c r="AD30" s="144">
        <f>AD29/AD7</f>
        <v>0.10449312928561751</v>
      </c>
      <c r="AE30" s="144">
        <f>AE29/AE7</f>
        <v>7.6670803251675773E-2</v>
      </c>
    </row>
  </sheetData>
  <pageMargins left="0.511811024" right="0.511811024" top="0.78740157499999996" bottom="0.78740157499999996" header="0.31496062000000002" footer="0.31496062000000002"/>
  <pageSetup paperSize="9" fitToWidth="0" orientation="portrait" r:id="rId1"/>
  <ignoredErrors>
    <ignoredError sqref="AA5:AA7 Z7:Z9 Z29 Z18:Z24 Z11:Z16 AA9 AC5:AD5 AB7:AD7 AB9:AD9 AA8:AD8 AA11:AD11 AA12:AD16 AA27:AD27 AA29:AD30 AA18:AD24 Z27 AE5:AE9 AE11:AE16 AE18:AE24 AE26:AE27 AE29" formulaRange="1"/>
    <ignoredError sqref="Z25 Z28 Z17 Z10 AA25:AD25 AA28:AD28 AA17:AD17" formula="1" formulaRange="1"/>
    <ignoredError sqref="AA10:AD10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1"/>
  <sheetViews>
    <sheetView showGridLines="0" zoomScaleNormal="100" workbookViewId="0">
      <pane xSplit="1" ySplit="4" topLeftCell="O5" activePane="bottomRight" state="frozen"/>
      <selection pane="topRight" activeCell="C1" sqref="C1"/>
      <selection pane="bottomLeft" activeCell="A4" sqref="A4"/>
      <selection pane="bottomRight" activeCell="X56" sqref="X56"/>
    </sheetView>
  </sheetViews>
  <sheetFormatPr defaultRowHeight="15"/>
  <cols>
    <col min="1" max="1" width="62" customWidth="1"/>
    <col min="2" max="2" width="10.85546875" customWidth="1"/>
    <col min="3" max="5" width="10.42578125" customWidth="1"/>
    <col min="6" max="6" width="10.85546875" customWidth="1"/>
    <col min="7" max="9" width="10.42578125" customWidth="1"/>
    <col min="10" max="10" width="10.85546875" customWidth="1"/>
    <col min="11" max="13" width="10.42578125" customWidth="1"/>
    <col min="14" max="14" width="10.85546875" customWidth="1"/>
    <col min="15" max="17" width="10.42578125" customWidth="1"/>
    <col min="18" max="18" width="10.85546875" customWidth="1"/>
    <col min="19" max="21" width="10.42578125" customWidth="1"/>
    <col min="22" max="22" width="10.85546875" customWidth="1"/>
    <col min="23" max="23" width="10.42578125" customWidth="1"/>
    <col min="25" max="25" width="0" hidden="1" customWidth="1"/>
  </cols>
  <sheetData>
    <row r="1" spans="1:24" ht="19.5" customHeight="1"/>
    <row r="2" spans="1:24" ht="24" customHeight="1"/>
    <row r="3" spans="1:24" ht="21" customHeight="1">
      <c r="B3" s="39" t="s">
        <v>34</v>
      </c>
      <c r="C3" s="39" t="s">
        <v>35</v>
      </c>
      <c r="D3" s="39" t="s">
        <v>36</v>
      </c>
      <c r="E3" s="45" t="s">
        <v>37</v>
      </c>
      <c r="F3" s="39" t="s">
        <v>4</v>
      </c>
      <c r="G3" s="39" t="s">
        <v>5</v>
      </c>
      <c r="H3" s="39" t="s">
        <v>6</v>
      </c>
      <c r="I3" s="45" t="s">
        <v>7</v>
      </c>
      <c r="J3" s="39" t="s">
        <v>38</v>
      </c>
      <c r="K3" s="39" t="s">
        <v>39</v>
      </c>
      <c r="L3" s="39" t="s">
        <v>40</v>
      </c>
      <c r="M3" s="45" t="s">
        <v>41</v>
      </c>
      <c r="N3" s="39" t="s">
        <v>42</v>
      </c>
      <c r="O3" s="39" t="s">
        <v>8</v>
      </c>
      <c r="P3" s="39" t="s">
        <v>9</v>
      </c>
      <c r="Q3" s="45" t="s">
        <v>10</v>
      </c>
      <c r="R3" s="39" t="s">
        <v>11</v>
      </c>
      <c r="S3" s="39" t="s">
        <v>12</v>
      </c>
      <c r="T3" s="39" t="s">
        <v>13</v>
      </c>
      <c r="U3" s="45" t="s">
        <v>14</v>
      </c>
      <c r="V3" s="39" t="s">
        <v>15</v>
      </c>
      <c r="W3" s="39" t="s">
        <v>43</v>
      </c>
      <c r="X3" s="45" t="s">
        <v>260</v>
      </c>
    </row>
    <row r="4" spans="1:24" ht="31.5">
      <c r="A4" s="94" t="str">
        <f>IF(Menu!$D$18="Português",Apoio!D1,Apoio!E1)</f>
        <v>Balanço Patrimonial Eternit S. A. Consolidado (em R$ mil)</v>
      </c>
      <c r="B4" s="146" t="str">
        <f>IF(Menu!$D18="Português",DRE!B$3,LEFT(B3,1)&amp;"Q"&amp;RIGHT(B3,LEN(B3)-FIND("T",B3)))</f>
        <v>1T19</v>
      </c>
      <c r="C4" s="95" t="str">
        <f>IF(Menu!$D18="Português",DRE!C$3,LEFT(C3,1)&amp;"Q"&amp;RIGHT(C3,LEN(C3)-FIND("T",C3)))</f>
        <v>2T19</v>
      </c>
      <c r="D4" s="96" t="str">
        <f>IF(Menu!$D18="Português",DRE!D$3,LEFT(D3,1)&amp;"Q"&amp;RIGHT(D3,LEN(D3)-FIND("T",D3)))</f>
        <v>3T19</v>
      </c>
      <c r="E4" s="98" t="str">
        <f>IF(Menu!$D18="Português",DRE!E$3,LEFT(E3,1)&amp;"Q"&amp;RIGHT(E3,LEN(E3)-FIND("T",E3)))</f>
        <v>4T19</v>
      </c>
      <c r="F4" s="97" t="str">
        <f>IF(Menu!$D18="Português",DRE!F$3,LEFT(F3,1)&amp;"Q"&amp;RIGHT(F3,LEN(F3)-FIND("T",F3)))</f>
        <v>1T20</v>
      </c>
      <c r="G4" s="95" t="str">
        <f>IF(Menu!$D18="Português",DRE!G$3,LEFT(G3,1)&amp;"Q"&amp;RIGHT(G3,LEN(G3)-FIND("T",G3)))</f>
        <v>2T20</v>
      </c>
      <c r="H4" s="96" t="str">
        <f>IF(Menu!$D18="Português",DRE!H$3,LEFT(H3,1)&amp;"Q"&amp;RIGHT(H3,LEN(H3)-FIND("T",H3)))</f>
        <v>3T20</v>
      </c>
      <c r="I4" s="98" t="str">
        <f>IF(Menu!$D18="Português",DRE!I$3,LEFT(I3,1)&amp;"Q"&amp;RIGHT(I3,LEN(I3)-FIND("T",I3)))</f>
        <v>4T20</v>
      </c>
      <c r="J4" s="97" t="str">
        <f>IF(Menu!$D18="Português",DRE!J$3,LEFT(J3,1)&amp;"Q"&amp;RIGHT(J3,LEN(J3)-FIND("T",J3)))</f>
        <v>1T21</v>
      </c>
      <c r="K4" s="95" t="str">
        <f>IF(Menu!$D18="Português",DRE!K$3,LEFT(K3,1)&amp;"Q"&amp;RIGHT(K3,LEN(K3)-FIND("T",K3)))</f>
        <v>2T21</v>
      </c>
      <c r="L4" s="96" t="str">
        <f>IF(Menu!$D18="Português",DRE!L$3,LEFT(L3,1)&amp;"Q"&amp;RIGHT(L3,LEN(L3)-FIND("T",L3)))</f>
        <v>3T21</v>
      </c>
      <c r="M4" s="98" t="str">
        <f>IF(Menu!$D18="Português",DRE!M$3,LEFT(M3,1)&amp;"Q"&amp;RIGHT(M3,LEN(M3)-FIND("T",M3)))</f>
        <v>4T21</v>
      </c>
      <c r="N4" s="97" t="str">
        <f>IF(Menu!$D18="Português",DRE!N$3,LEFT(N3,1)&amp;"Q"&amp;RIGHT(N3,LEN(N3)-FIND("T",N3)))</f>
        <v>1T22</v>
      </c>
      <c r="O4" s="95" t="str">
        <f>IF(Menu!$D18="Português",DRE!O$3,LEFT(O3,1)&amp;"Q"&amp;RIGHT(O3,LEN(O3)-FIND("T",O3)))</f>
        <v>2T22</v>
      </c>
      <c r="P4" s="96" t="str">
        <f>IF(Menu!$D18="Português",DRE!P$3,LEFT(P3,1)&amp;"Q"&amp;RIGHT(P3,LEN(P3)-FIND("T",P3)))</f>
        <v>3T22</v>
      </c>
      <c r="Q4" s="98" t="str">
        <f>IF(Menu!$D18="Português",DRE!Q$3,LEFT(Q3,1)&amp;"Q"&amp;RIGHT(Q3,LEN(Q3)-FIND("T",Q3)))</f>
        <v>4T22</v>
      </c>
      <c r="R4" s="97" t="str">
        <f>IF(Menu!$D18="Português",DRE!R$3,LEFT(R3,1)&amp;"Q"&amp;RIGHT(R3,LEN(R3)-FIND("T",R3)))</f>
        <v>1T23</v>
      </c>
      <c r="S4" s="95" t="str">
        <f>IF(Menu!$D18="Português",DRE!S$3,LEFT(S3,1)&amp;"Q"&amp;RIGHT(S3,LEN(S3)-FIND("T",S3)))</f>
        <v>2T23</v>
      </c>
      <c r="T4" s="96" t="str">
        <f>IF(Menu!$D18="Português",DRE!T$3,LEFT(T3,1)&amp;"Q"&amp;RIGHT(T3,LEN(T3)-FIND("T",T3)))</f>
        <v>3T23</v>
      </c>
      <c r="U4" s="98" t="str">
        <f>IF(Menu!$D18="Português",DRE!U$3,LEFT(U3,1)&amp;"Q"&amp;RIGHT(U3,LEN(U3)-FIND("T",U3)))</f>
        <v>4T23</v>
      </c>
      <c r="V4" s="97" t="str">
        <f>IF(Menu!$D18="Português",DRE!V$3,LEFT(V3,1)&amp;"Q"&amp;RIGHT(V3,LEN(V3)-FIND("T",V3)))</f>
        <v>1T24</v>
      </c>
      <c r="W4" s="95" t="str">
        <f>IF(Menu!$D18="Português",DRE!W$3,LEFT(W3,1)&amp;"Q"&amp;RIGHT(W3,LEN(W3)-FIND("T",W3)))</f>
        <v>2T24</v>
      </c>
      <c r="X4" s="95" t="str">
        <f>IF(Menu!$D18="Português",DRE!X$3,LEFT(X3,1)&amp;"Q"&amp;RIGHT(X3,LEN(X3)-FIND("T",X3)))</f>
        <v>3T24</v>
      </c>
    </row>
    <row r="5" spans="1:24" s="25" customFormat="1" ht="4.5" customHeight="1">
      <c r="A5" s="31"/>
      <c r="B5" s="32"/>
      <c r="C5" s="33"/>
      <c r="D5" s="33"/>
      <c r="E5" s="34"/>
      <c r="F5" s="35"/>
      <c r="G5" s="33"/>
      <c r="H5" s="33"/>
      <c r="I5" s="34"/>
      <c r="J5" s="35"/>
      <c r="K5" s="33"/>
      <c r="L5" s="33"/>
      <c r="M5" s="34"/>
      <c r="N5" s="35"/>
      <c r="O5" s="33"/>
      <c r="P5" s="33"/>
      <c r="Q5" s="34"/>
      <c r="R5" s="35"/>
      <c r="S5" s="33"/>
      <c r="T5" s="33"/>
      <c r="U5" s="34"/>
      <c r="V5" s="35"/>
      <c r="W5" s="33"/>
      <c r="X5" s="33"/>
    </row>
    <row r="6" spans="1:24" s="25" customFormat="1">
      <c r="A6" s="24" t="str">
        <f>IF(Menu!$D$18="Português",Apoio!D2,Apoio!E2)</f>
        <v>ATIVO</v>
      </c>
      <c r="B6" s="26"/>
      <c r="C6" s="27"/>
      <c r="D6" s="27"/>
      <c r="E6" s="28"/>
      <c r="F6" s="46"/>
      <c r="G6" s="27"/>
      <c r="H6" s="27"/>
      <c r="I6" s="28"/>
      <c r="J6" s="46"/>
      <c r="K6" s="27"/>
      <c r="L6" s="27"/>
      <c r="M6" s="28"/>
      <c r="N6" s="46"/>
      <c r="O6" s="27"/>
      <c r="P6" s="27"/>
      <c r="Q6" s="28"/>
      <c r="R6" s="46"/>
      <c r="S6" s="27"/>
      <c r="T6" s="27"/>
      <c r="U6" s="28"/>
      <c r="V6" s="46"/>
      <c r="W6" s="27"/>
      <c r="X6" s="27"/>
    </row>
    <row r="7" spans="1:24" s="25" customFormat="1">
      <c r="A7" s="29" t="str">
        <f>IF(Menu!$D$18="Português",Apoio!D3,Apoio!E3)</f>
        <v>Circulante</v>
      </c>
      <c r="B7" s="132">
        <v>254416</v>
      </c>
      <c r="C7" s="8">
        <v>223720</v>
      </c>
      <c r="D7" s="8">
        <v>240779</v>
      </c>
      <c r="E7" s="9">
        <v>232558</v>
      </c>
      <c r="F7" s="18">
        <v>245358</v>
      </c>
      <c r="G7" s="8">
        <v>264767</v>
      </c>
      <c r="H7" s="8">
        <v>301763</v>
      </c>
      <c r="I7" s="9">
        <v>486081</v>
      </c>
      <c r="J7" s="18">
        <v>569804</v>
      </c>
      <c r="K7" s="8">
        <v>621361</v>
      </c>
      <c r="L7" s="8">
        <v>707065</v>
      </c>
      <c r="M7" s="9">
        <v>740202</v>
      </c>
      <c r="N7" s="18">
        <v>779841</v>
      </c>
      <c r="O7" s="8">
        <v>761548</v>
      </c>
      <c r="P7" s="8">
        <v>709395</v>
      </c>
      <c r="Q7" s="9">
        <v>715330</v>
      </c>
      <c r="R7" s="18">
        <v>642321</v>
      </c>
      <c r="S7" s="8">
        <v>636387</v>
      </c>
      <c r="T7" s="8">
        <v>606002</v>
      </c>
      <c r="U7" s="9">
        <v>568035</v>
      </c>
      <c r="V7" s="18">
        <v>569309</v>
      </c>
      <c r="W7" s="8">
        <v>593496</v>
      </c>
      <c r="X7" s="8">
        <v>569779</v>
      </c>
    </row>
    <row r="8" spans="1:24" s="25" customFormat="1">
      <c r="A8" s="11" t="str">
        <f>IF(Menu!$D$18="Português",Apoio!D4,Apoio!E4)</f>
        <v>Caixa e equivalentes de caixa</v>
      </c>
      <c r="B8" s="12">
        <v>4277</v>
      </c>
      <c r="C8" s="13">
        <v>5691</v>
      </c>
      <c r="D8" s="13">
        <v>10475</v>
      </c>
      <c r="E8" s="14">
        <v>9358</v>
      </c>
      <c r="F8" s="41">
        <v>10866</v>
      </c>
      <c r="G8" s="13">
        <v>34862</v>
      </c>
      <c r="H8" s="13">
        <v>58877</v>
      </c>
      <c r="I8" s="14">
        <v>81175</v>
      </c>
      <c r="J8" s="41">
        <v>216333</v>
      </c>
      <c r="K8" s="13">
        <v>196650</v>
      </c>
      <c r="L8" s="13">
        <v>259344</v>
      </c>
      <c r="M8" s="14">
        <v>218864</v>
      </c>
      <c r="N8" s="41">
        <v>236724</v>
      </c>
      <c r="O8" s="13">
        <v>149220</v>
      </c>
      <c r="P8" s="13">
        <v>72460</v>
      </c>
      <c r="Q8" s="14">
        <v>112469</v>
      </c>
      <c r="R8" s="41">
        <v>30764</v>
      </c>
      <c r="S8" s="13">
        <v>49653</v>
      </c>
      <c r="T8" s="13">
        <v>39890</v>
      </c>
      <c r="U8" s="14">
        <v>16539</v>
      </c>
      <c r="V8" s="41">
        <v>15325</v>
      </c>
      <c r="W8" s="13">
        <v>9247</v>
      </c>
      <c r="X8" s="13">
        <v>17347</v>
      </c>
    </row>
    <row r="9" spans="1:24" s="25" customFormat="1">
      <c r="A9" s="11" t="str">
        <f>IF(Menu!$D$18="Português",Apoio!D6,Apoio!E6)</f>
        <v>Contas a receber</v>
      </c>
      <c r="B9" s="12">
        <v>108625</v>
      </c>
      <c r="C9" s="13">
        <v>75637</v>
      </c>
      <c r="D9" s="13">
        <v>63744</v>
      </c>
      <c r="E9" s="14">
        <v>56738</v>
      </c>
      <c r="F9" s="41">
        <v>66616</v>
      </c>
      <c r="G9" s="13">
        <v>95780</v>
      </c>
      <c r="H9" s="13">
        <v>97323</v>
      </c>
      <c r="I9" s="14">
        <v>89938</v>
      </c>
      <c r="J9" s="41">
        <v>124391</v>
      </c>
      <c r="K9" s="13">
        <v>157459</v>
      </c>
      <c r="L9" s="13">
        <v>132017</v>
      </c>
      <c r="M9" s="14">
        <v>153229</v>
      </c>
      <c r="N9" s="41">
        <v>163017</v>
      </c>
      <c r="O9" s="13">
        <v>223970</v>
      </c>
      <c r="P9" s="13">
        <v>248676</v>
      </c>
      <c r="Q9" s="14">
        <v>227705</v>
      </c>
      <c r="R9" s="41">
        <v>208372</v>
      </c>
      <c r="S9" s="13">
        <v>186406</v>
      </c>
      <c r="T9" s="13">
        <v>177557</v>
      </c>
      <c r="U9" s="14">
        <v>179857</v>
      </c>
      <c r="V9" s="41">
        <v>178244</v>
      </c>
      <c r="W9" s="13">
        <v>194723</v>
      </c>
      <c r="X9" s="13">
        <v>192543</v>
      </c>
    </row>
    <row r="10" spans="1:24" s="25" customFormat="1">
      <c r="A10" s="11" t="str">
        <f>IF(Menu!$D$18="Português",Apoio!D7,Apoio!E7)</f>
        <v>Estoques</v>
      </c>
      <c r="B10" s="12">
        <v>90130</v>
      </c>
      <c r="C10" s="13">
        <v>86026</v>
      </c>
      <c r="D10" s="13">
        <v>106057</v>
      </c>
      <c r="E10" s="14">
        <v>104921</v>
      </c>
      <c r="F10" s="41">
        <v>101049</v>
      </c>
      <c r="G10" s="13">
        <v>57321</v>
      </c>
      <c r="H10" s="13">
        <v>57224</v>
      </c>
      <c r="I10" s="14">
        <v>73470</v>
      </c>
      <c r="J10" s="41">
        <v>86715</v>
      </c>
      <c r="K10" s="13">
        <v>104327</v>
      </c>
      <c r="L10" s="13">
        <v>136870</v>
      </c>
      <c r="M10" s="14">
        <v>185268</v>
      </c>
      <c r="N10" s="41">
        <v>213481</v>
      </c>
      <c r="O10" s="13">
        <v>218601</v>
      </c>
      <c r="P10" s="13">
        <v>240486</v>
      </c>
      <c r="Q10" s="14">
        <v>209822</v>
      </c>
      <c r="R10" s="41">
        <v>220084</v>
      </c>
      <c r="S10" s="13">
        <v>223327</v>
      </c>
      <c r="T10" s="13">
        <v>200204</v>
      </c>
      <c r="U10" s="14">
        <v>168259</v>
      </c>
      <c r="V10" s="41">
        <v>178448</v>
      </c>
      <c r="W10" s="13">
        <v>180830</v>
      </c>
      <c r="X10" s="13">
        <v>177978</v>
      </c>
    </row>
    <row r="11" spans="1:24" s="25" customFormat="1">
      <c r="A11" s="11" t="str">
        <f>IF(Menu!$D$18="Português",Apoio!D8,Apoio!E8)</f>
        <v>Impostos a recuperar</v>
      </c>
      <c r="B11" s="12">
        <v>14635</v>
      </c>
      <c r="C11" s="13">
        <v>14804</v>
      </c>
      <c r="D11" s="13">
        <v>21231</v>
      </c>
      <c r="E11" s="14">
        <v>23496</v>
      </c>
      <c r="F11" s="41">
        <v>28106</v>
      </c>
      <c r="G11" s="13">
        <v>34308</v>
      </c>
      <c r="H11" s="13">
        <v>36200</v>
      </c>
      <c r="I11" s="14">
        <v>88986</v>
      </c>
      <c r="J11" s="41">
        <v>92840</v>
      </c>
      <c r="K11" s="13">
        <v>104575</v>
      </c>
      <c r="L11" s="13">
        <v>120990</v>
      </c>
      <c r="M11" s="14">
        <v>126392</v>
      </c>
      <c r="N11" s="41">
        <v>117575</v>
      </c>
      <c r="O11" s="13">
        <v>111936</v>
      </c>
      <c r="P11" s="13">
        <v>88882</v>
      </c>
      <c r="Q11" s="14">
        <v>107735</v>
      </c>
      <c r="R11" s="41">
        <v>117635</v>
      </c>
      <c r="S11" s="13">
        <v>122949</v>
      </c>
      <c r="T11" s="13">
        <v>129706</v>
      </c>
      <c r="U11" s="14">
        <v>140904</v>
      </c>
      <c r="V11" s="41">
        <v>129035</v>
      </c>
      <c r="W11" s="13">
        <v>116024</v>
      </c>
      <c r="X11" s="13">
        <v>106920</v>
      </c>
    </row>
    <row r="12" spans="1:24" s="25" customFormat="1">
      <c r="A12" s="11" t="str">
        <f>IF(Menu!$D$18="Português",Apoio!D9,Apoio!E9)</f>
        <v>Imposto de renda e contribuição social diferidos</v>
      </c>
      <c r="B12" s="12">
        <v>0</v>
      </c>
      <c r="C12" s="13">
        <v>0</v>
      </c>
      <c r="D12" s="13"/>
      <c r="E12" s="14">
        <v>0</v>
      </c>
      <c r="F12" s="41">
        <v>0</v>
      </c>
      <c r="G12" s="13">
        <v>0</v>
      </c>
      <c r="H12" s="13">
        <v>0</v>
      </c>
      <c r="I12" s="14">
        <v>0</v>
      </c>
      <c r="J12" s="41">
        <v>0</v>
      </c>
      <c r="K12" s="13">
        <v>0</v>
      </c>
      <c r="L12" s="13">
        <v>0</v>
      </c>
      <c r="M12" s="14">
        <v>0</v>
      </c>
      <c r="N12" s="41">
        <v>0</v>
      </c>
      <c r="O12" s="13">
        <v>0</v>
      </c>
      <c r="P12" s="13">
        <v>0</v>
      </c>
      <c r="Q12" s="14">
        <v>0</v>
      </c>
      <c r="R12" s="41">
        <v>0</v>
      </c>
      <c r="S12" s="13">
        <v>0</v>
      </c>
      <c r="T12" s="13">
        <v>0</v>
      </c>
      <c r="U12" s="14">
        <v>1850</v>
      </c>
      <c r="V12" s="41">
        <v>1850</v>
      </c>
      <c r="W12" s="13">
        <v>1850</v>
      </c>
      <c r="X12" s="13">
        <v>1850</v>
      </c>
    </row>
    <row r="13" spans="1:24" s="25" customFormat="1">
      <c r="A13" s="11" t="str">
        <f>IF(Menu!$D$18="Português",Apoio!D10,Apoio!E10)</f>
        <v>Partes relacionadas</v>
      </c>
      <c r="B13" s="12">
        <v>5966</v>
      </c>
      <c r="C13" s="13">
        <v>9206</v>
      </c>
      <c r="D13" s="13">
        <v>0</v>
      </c>
      <c r="E13" s="14">
        <v>0</v>
      </c>
      <c r="F13" s="41">
        <v>0</v>
      </c>
      <c r="G13" s="13">
        <v>0</v>
      </c>
      <c r="H13" s="13">
        <v>0</v>
      </c>
      <c r="I13" s="14">
        <v>0</v>
      </c>
      <c r="J13" s="41">
        <v>0</v>
      </c>
      <c r="K13" s="13">
        <v>0</v>
      </c>
      <c r="L13" s="13">
        <v>0</v>
      </c>
      <c r="M13" s="14">
        <v>0</v>
      </c>
      <c r="N13" s="41">
        <v>0</v>
      </c>
      <c r="O13" s="13">
        <v>0</v>
      </c>
      <c r="P13" s="13">
        <v>0</v>
      </c>
      <c r="Q13" s="14">
        <v>0</v>
      </c>
      <c r="R13" s="41">
        <v>0</v>
      </c>
      <c r="S13" s="13">
        <v>0</v>
      </c>
      <c r="T13" s="13">
        <v>0</v>
      </c>
      <c r="U13" s="14">
        <v>0</v>
      </c>
      <c r="V13" s="41" t="s">
        <v>54</v>
      </c>
      <c r="W13" s="13">
        <v>0</v>
      </c>
      <c r="X13" s="13">
        <v>0</v>
      </c>
    </row>
    <row r="14" spans="1:24" s="25" customFormat="1">
      <c r="A14" s="11" t="str">
        <f>IF(Menu!$D$18="Português",Apoio!D11,Apoio!E11)</f>
        <v>Adiantamento a fornecedores</v>
      </c>
      <c r="B14" s="12">
        <v>0</v>
      </c>
      <c r="C14" s="13">
        <v>0</v>
      </c>
      <c r="D14" s="13">
        <v>0</v>
      </c>
      <c r="E14" s="14">
        <v>0</v>
      </c>
      <c r="F14" s="41">
        <v>0</v>
      </c>
      <c r="G14" s="13">
        <v>19780</v>
      </c>
      <c r="H14" s="13">
        <v>27007</v>
      </c>
      <c r="I14" s="14">
        <v>30266</v>
      </c>
      <c r="J14" s="41">
        <v>25354</v>
      </c>
      <c r="K14" s="13">
        <v>34831</v>
      </c>
      <c r="L14" s="13">
        <v>30767</v>
      </c>
      <c r="M14" s="14">
        <v>30014</v>
      </c>
      <c r="N14" s="41">
        <v>24682</v>
      </c>
      <c r="O14" s="13">
        <v>26571</v>
      </c>
      <c r="P14" s="13">
        <v>31154</v>
      </c>
      <c r="Q14" s="14">
        <v>39427</v>
      </c>
      <c r="R14" s="41">
        <v>39767</v>
      </c>
      <c r="S14" s="13">
        <v>34579</v>
      </c>
      <c r="T14" s="13">
        <v>22538</v>
      </c>
      <c r="U14" s="14">
        <v>27187</v>
      </c>
      <c r="V14" s="41">
        <v>31301</v>
      </c>
      <c r="W14" s="13">
        <v>33423</v>
      </c>
      <c r="X14" s="13">
        <v>35085</v>
      </c>
    </row>
    <row r="15" spans="1:24" s="25" customFormat="1">
      <c r="A15" s="11" t="s">
        <v>258</v>
      </c>
      <c r="B15" s="12">
        <v>0</v>
      </c>
      <c r="C15" s="13">
        <v>0</v>
      </c>
      <c r="D15" s="13">
        <v>0</v>
      </c>
      <c r="E15" s="14">
        <v>0</v>
      </c>
      <c r="F15" s="41">
        <v>0</v>
      </c>
      <c r="G15" s="13">
        <v>0</v>
      </c>
      <c r="H15" s="13">
        <v>0</v>
      </c>
      <c r="I15" s="14">
        <v>0</v>
      </c>
      <c r="J15" s="41">
        <v>0</v>
      </c>
      <c r="K15" s="13">
        <v>0</v>
      </c>
      <c r="L15" s="13">
        <v>0</v>
      </c>
      <c r="M15" s="14">
        <v>0</v>
      </c>
      <c r="N15" s="41">
        <v>0</v>
      </c>
      <c r="O15" s="13">
        <v>0</v>
      </c>
      <c r="P15" s="13">
        <v>0</v>
      </c>
      <c r="Q15" s="14">
        <v>0</v>
      </c>
      <c r="R15" s="41">
        <v>0</v>
      </c>
      <c r="S15" s="13">
        <v>0</v>
      </c>
      <c r="T15" s="13">
        <v>0</v>
      </c>
      <c r="U15" s="14">
        <v>0</v>
      </c>
      <c r="V15" s="41">
        <v>0</v>
      </c>
      <c r="W15" s="13">
        <v>20500</v>
      </c>
      <c r="X15" s="13">
        <v>0</v>
      </c>
    </row>
    <row r="16" spans="1:24" s="25" customFormat="1">
      <c r="A16" s="11" t="str">
        <f>IF(Menu!$D$18="Português",Apoio!D12,Apoio!E12)</f>
        <v>Outros ativos circulantes</v>
      </c>
      <c r="B16" s="12">
        <v>23477</v>
      </c>
      <c r="C16" s="13">
        <v>25050</v>
      </c>
      <c r="D16" s="13">
        <v>27521</v>
      </c>
      <c r="E16" s="14">
        <v>29630</v>
      </c>
      <c r="F16" s="41">
        <v>30306</v>
      </c>
      <c r="G16" s="13">
        <v>11074</v>
      </c>
      <c r="H16" s="13">
        <v>13473</v>
      </c>
      <c r="I16" s="14">
        <v>12907</v>
      </c>
      <c r="J16" s="41">
        <v>19326</v>
      </c>
      <c r="K16" s="13">
        <v>18305</v>
      </c>
      <c r="L16" s="13">
        <v>22232</v>
      </c>
      <c r="M16" s="14">
        <v>21590</v>
      </c>
      <c r="N16" s="41">
        <v>23339</v>
      </c>
      <c r="O16" s="13">
        <v>30227</v>
      </c>
      <c r="P16" s="13">
        <v>26714</v>
      </c>
      <c r="Q16" s="14">
        <v>17149</v>
      </c>
      <c r="R16" s="41">
        <v>24676</v>
      </c>
      <c r="S16" s="13">
        <v>18450</v>
      </c>
      <c r="T16" s="13">
        <v>35084</v>
      </c>
      <c r="U16" s="14">
        <v>33439</v>
      </c>
      <c r="V16" s="41">
        <v>35106</v>
      </c>
      <c r="W16" s="13">
        <v>36899</v>
      </c>
      <c r="X16" s="13">
        <v>38056</v>
      </c>
    </row>
    <row r="17" spans="1:24" s="25" customFormat="1">
      <c r="A17" s="11" t="str">
        <f>IF(Menu!$D$18="Português",Apoio!D13,Apoio!E13)</f>
        <v>Ativo mantido para a venda</v>
      </c>
      <c r="B17" s="147">
        <v>7306</v>
      </c>
      <c r="C17" s="23">
        <v>7306</v>
      </c>
      <c r="D17" s="23">
        <v>11751</v>
      </c>
      <c r="E17" s="52">
        <v>8415</v>
      </c>
      <c r="F17" s="48">
        <v>8415</v>
      </c>
      <c r="G17" s="23">
        <v>11642</v>
      </c>
      <c r="H17" s="23">
        <v>11659</v>
      </c>
      <c r="I17" s="52">
        <v>109339</v>
      </c>
      <c r="J17" s="48">
        <v>4845</v>
      </c>
      <c r="K17" s="23">
        <v>5214</v>
      </c>
      <c r="L17" s="23">
        <v>4845</v>
      </c>
      <c r="M17" s="52">
        <v>4845</v>
      </c>
      <c r="N17" s="48">
        <v>1023</v>
      </c>
      <c r="O17" s="23">
        <v>1023</v>
      </c>
      <c r="P17" s="23">
        <v>1023</v>
      </c>
      <c r="Q17" s="52">
        <v>1023</v>
      </c>
      <c r="R17" s="48">
        <v>1023</v>
      </c>
      <c r="S17" s="23">
        <v>1023</v>
      </c>
      <c r="T17" s="23">
        <v>1023</v>
      </c>
      <c r="U17" s="52">
        <v>0</v>
      </c>
      <c r="V17" s="48" t="s">
        <v>54</v>
      </c>
      <c r="W17" s="23">
        <v>0</v>
      </c>
      <c r="X17" s="23">
        <v>0</v>
      </c>
    </row>
    <row r="18" spans="1:24" s="25" customFormat="1">
      <c r="A18" s="29" t="str">
        <f>IF(Menu!$D$18="Português",Apoio!D14,Apoio!E14)</f>
        <v>Não circulante</v>
      </c>
      <c r="B18" s="40">
        <v>308137</v>
      </c>
      <c r="C18" s="43">
        <v>301552</v>
      </c>
      <c r="D18" s="43">
        <v>329605</v>
      </c>
      <c r="E18" s="51">
        <v>313029</v>
      </c>
      <c r="F18" s="42">
        <v>307102</v>
      </c>
      <c r="G18" s="43">
        <v>325003</v>
      </c>
      <c r="H18" s="43">
        <v>321891</v>
      </c>
      <c r="I18" s="51">
        <v>259187</v>
      </c>
      <c r="J18" s="42">
        <v>264150</v>
      </c>
      <c r="K18" s="43">
        <v>272800</v>
      </c>
      <c r="L18" s="43">
        <v>269772</v>
      </c>
      <c r="M18" s="51">
        <v>271729</v>
      </c>
      <c r="N18" s="42">
        <v>286578</v>
      </c>
      <c r="O18" s="43">
        <v>302233</v>
      </c>
      <c r="P18" s="43">
        <v>477622</v>
      </c>
      <c r="Q18" s="51">
        <v>506937</v>
      </c>
      <c r="R18" s="42">
        <v>526154</v>
      </c>
      <c r="S18" s="43">
        <v>578375</v>
      </c>
      <c r="T18" s="43">
        <v>642868</v>
      </c>
      <c r="U18" s="51">
        <v>732331</v>
      </c>
      <c r="V18" s="42">
        <v>713586</v>
      </c>
      <c r="W18" s="43">
        <v>723483</v>
      </c>
      <c r="X18" s="43">
        <v>737149</v>
      </c>
    </row>
    <row r="19" spans="1:24" s="25" customFormat="1">
      <c r="A19" s="11" t="str">
        <f>IF(Menu!$D$18="Português",Apoio!D15,Apoio!E15)</f>
        <v>Depósitos judiciais</v>
      </c>
      <c r="B19" s="12">
        <v>16211</v>
      </c>
      <c r="C19" s="13">
        <v>16183</v>
      </c>
      <c r="D19" s="13">
        <v>23781</v>
      </c>
      <c r="E19" s="14">
        <v>19362</v>
      </c>
      <c r="F19" s="17">
        <v>19746</v>
      </c>
      <c r="G19" s="13">
        <v>19808</v>
      </c>
      <c r="H19" s="13">
        <v>20048</v>
      </c>
      <c r="I19" s="14">
        <v>12202</v>
      </c>
      <c r="J19" s="17">
        <v>11870</v>
      </c>
      <c r="K19" s="13">
        <v>12418</v>
      </c>
      <c r="L19" s="13">
        <v>12692</v>
      </c>
      <c r="M19" s="14">
        <v>10500</v>
      </c>
      <c r="N19" s="17">
        <v>10526</v>
      </c>
      <c r="O19" s="13">
        <v>10635</v>
      </c>
      <c r="P19" s="13">
        <v>11448</v>
      </c>
      <c r="Q19" s="14">
        <v>12879</v>
      </c>
      <c r="R19" s="17">
        <v>12924</v>
      </c>
      <c r="S19" s="13">
        <v>12685</v>
      </c>
      <c r="T19" s="13">
        <v>12771</v>
      </c>
      <c r="U19" s="14">
        <v>12778</v>
      </c>
      <c r="V19" s="17">
        <v>13028</v>
      </c>
      <c r="W19" s="13">
        <v>17379</v>
      </c>
      <c r="X19" s="13">
        <v>13956</v>
      </c>
    </row>
    <row r="20" spans="1:24" s="25" customFormat="1">
      <c r="A20" s="11" t="str">
        <f>IF(Menu!$D$18="Português",Apoio!D16,Apoio!E16)</f>
        <v>Impostos a recuperar</v>
      </c>
      <c r="B20" s="12">
        <v>38979</v>
      </c>
      <c r="C20" s="13">
        <v>38174</v>
      </c>
      <c r="D20" s="13">
        <v>40887</v>
      </c>
      <c r="E20" s="14">
        <v>40834</v>
      </c>
      <c r="F20" s="17">
        <v>36913</v>
      </c>
      <c r="G20" s="13">
        <v>0</v>
      </c>
      <c r="H20" s="13">
        <v>35320</v>
      </c>
      <c r="I20" s="14">
        <v>34694</v>
      </c>
      <c r="J20" s="17">
        <v>33942</v>
      </c>
      <c r="K20" s="13">
        <v>34831</v>
      </c>
      <c r="L20" s="13">
        <v>23591</v>
      </c>
      <c r="M20" s="14">
        <v>10629</v>
      </c>
      <c r="N20" s="17">
        <v>9727</v>
      </c>
      <c r="O20" s="13">
        <v>9875</v>
      </c>
      <c r="P20" s="13">
        <v>40553</v>
      </c>
      <c r="Q20" s="14">
        <v>37268</v>
      </c>
      <c r="R20" s="17">
        <v>32603</v>
      </c>
      <c r="S20" s="13">
        <v>29724</v>
      </c>
      <c r="T20" s="13">
        <v>26196</v>
      </c>
      <c r="U20" s="14">
        <v>22597</v>
      </c>
      <c r="V20" s="17">
        <v>2044</v>
      </c>
      <c r="W20" s="13">
        <v>2158</v>
      </c>
      <c r="X20" s="13">
        <v>2932</v>
      </c>
    </row>
    <row r="21" spans="1:24" s="25" customFormat="1">
      <c r="A21" s="11" t="str">
        <f>IF(Menu!$D$18="Português",Apoio!D17,Apoio!E17)</f>
        <v>Partes relacionadas</v>
      </c>
      <c r="B21" s="12">
        <v>18197</v>
      </c>
      <c r="C21" s="13">
        <v>15499</v>
      </c>
      <c r="D21" s="13">
        <v>0</v>
      </c>
      <c r="E21" s="14">
        <v>0</v>
      </c>
      <c r="F21" s="17">
        <v>0</v>
      </c>
      <c r="G21" s="13">
        <v>0</v>
      </c>
      <c r="H21" s="13">
        <v>0</v>
      </c>
      <c r="I21" s="14">
        <v>0</v>
      </c>
      <c r="J21" s="17">
        <v>0</v>
      </c>
      <c r="K21" s="13">
        <v>0</v>
      </c>
      <c r="L21" s="13">
        <v>0</v>
      </c>
      <c r="M21" s="14">
        <v>0</v>
      </c>
      <c r="N21" s="17">
        <v>0</v>
      </c>
      <c r="O21" s="13">
        <v>0</v>
      </c>
      <c r="P21" s="13">
        <v>0</v>
      </c>
      <c r="Q21" s="14">
        <v>0</v>
      </c>
      <c r="R21" s="17">
        <v>0</v>
      </c>
      <c r="S21" s="13">
        <v>0</v>
      </c>
      <c r="T21" s="13">
        <v>0</v>
      </c>
      <c r="U21" s="14">
        <v>0</v>
      </c>
      <c r="V21" s="17" t="s">
        <v>54</v>
      </c>
      <c r="W21" s="13">
        <v>0</v>
      </c>
      <c r="X21" s="13">
        <v>0</v>
      </c>
    </row>
    <row r="22" spans="1:24" s="25" customFormat="1">
      <c r="A22" s="11" t="str">
        <f>IF(Menu!$D$18="Português",Apoio!D18,Apoio!E18)</f>
        <v>Outros ativos não circulantes</v>
      </c>
      <c r="B22" s="148">
        <v>1461</v>
      </c>
      <c r="C22" s="44">
        <v>1466</v>
      </c>
      <c r="D22" s="44">
        <v>2244</v>
      </c>
      <c r="E22" s="53">
        <v>2250</v>
      </c>
      <c r="F22" s="49">
        <v>2255</v>
      </c>
      <c r="G22" s="44">
        <v>2261</v>
      </c>
      <c r="H22" s="44">
        <v>2265</v>
      </c>
      <c r="I22" s="53">
        <v>2270</v>
      </c>
      <c r="J22" s="49">
        <v>2276</v>
      </c>
      <c r="K22" s="44">
        <v>2281</v>
      </c>
      <c r="L22" s="44">
        <v>2285</v>
      </c>
      <c r="M22" s="53">
        <v>1595</v>
      </c>
      <c r="N22" s="49">
        <v>1595</v>
      </c>
      <c r="O22" s="44">
        <v>1595</v>
      </c>
      <c r="P22" s="44">
        <v>1595</v>
      </c>
      <c r="Q22" s="53">
        <v>1595</v>
      </c>
      <c r="R22" s="3">
        <v>1595</v>
      </c>
      <c r="S22" s="44">
        <v>1595</v>
      </c>
      <c r="T22" s="44">
        <v>1541</v>
      </c>
      <c r="U22" s="53">
        <v>1844</v>
      </c>
      <c r="V22" s="118">
        <v>1844</v>
      </c>
      <c r="W22" s="44">
        <v>1844</v>
      </c>
      <c r="X22" s="44">
        <v>1846</v>
      </c>
    </row>
    <row r="23" spans="1:24" s="25" customFormat="1">
      <c r="A23" s="11" t="str">
        <f>IF(Menu!$D$18="Português",Apoio!D19,Apoio!E19)</f>
        <v>Investimentos</v>
      </c>
      <c r="B23" s="12">
        <v>57187</v>
      </c>
      <c r="C23" s="13">
        <v>57187</v>
      </c>
      <c r="D23" s="13">
        <v>0</v>
      </c>
      <c r="E23" s="14">
        <v>0</v>
      </c>
      <c r="F23" s="17">
        <v>0</v>
      </c>
      <c r="G23" s="13">
        <v>0</v>
      </c>
      <c r="H23" s="13">
        <v>0</v>
      </c>
      <c r="I23" s="14">
        <v>0</v>
      </c>
      <c r="J23" s="17">
        <v>0</v>
      </c>
      <c r="K23" s="13">
        <v>0</v>
      </c>
      <c r="L23" s="13">
        <v>0</v>
      </c>
      <c r="M23" s="14">
        <v>0</v>
      </c>
      <c r="N23" s="17">
        <v>0</v>
      </c>
      <c r="O23" s="13">
        <v>0</v>
      </c>
      <c r="P23" s="13">
        <v>0</v>
      </c>
      <c r="Q23" s="14">
        <v>0</v>
      </c>
      <c r="R23" s="17">
        <v>0</v>
      </c>
      <c r="S23" s="13">
        <v>0</v>
      </c>
      <c r="T23" s="13">
        <v>0</v>
      </c>
      <c r="U23" s="14">
        <v>0</v>
      </c>
      <c r="V23" s="17" t="s">
        <v>54</v>
      </c>
      <c r="W23" s="13">
        <v>0</v>
      </c>
      <c r="X23" s="13">
        <v>0</v>
      </c>
    </row>
    <row r="24" spans="1:24" s="25" customFormat="1">
      <c r="A24" s="11" t="str">
        <f>IF(Menu!$D$18="Português",Apoio!D20,Apoio!E20)</f>
        <v>Ativo de direito uso</v>
      </c>
      <c r="B24" s="12">
        <v>11340</v>
      </c>
      <c r="C24" s="13">
        <v>11016</v>
      </c>
      <c r="D24" s="13">
        <v>10692</v>
      </c>
      <c r="E24" s="14">
        <v>11210</v>
      </c>
      <c r="F24" s="17">
        <v>10859</v>
      </c>
      <c r="G24" s="13">
        <v>10643</v>
      </c>
      <c r="H24" s="13">
        <v>10373</v>
      </c>
      <c r="I24" s="14">
        <v>9149</v>
      </c>
      <c r="J24" s="17">
        <v>8825</v>
      </c>
      <c r="K24" s="13">
        <v>8462</v>
      </c>
      <c r="L24" s="13">
        <v>8099</v>
      </c>
      <c r="M24" s="14">
        <v>7758</v>
      </c>
      <c r="N24" s="17">
        <v>16874</v>
      </c>
      <c r="O24" s="13">
        <v>16556</v>
      </c>
      <c r="P24" s="13">
        <v>16238</v>
      </c>
      <c r="Q24" s="14">
        <v>15920</v>
      </c>
      <c r="R24" s="17">
        <v>17170</v>
      </c>
      <c r="S24" s="13">
        <v>16803</v>
      </c>
      <c r="T24" s="13">
        <v>16436</v>
      </c>
      <c r="U24" s="14">
        <v>16069</v>
      </c>
      <c r="V24" s="17">
        <v>17296</v>
      </c>
      <c r="W24" s="13">
        <v>16871</v>
      </c>
      <c r="X24" s="13">
        <v>16447</v>
      </c>
    </row>
    <row r="25" spans="1:24" s="25" customFormat="1" ht="15.75" customHeight="1">
      <c r="A25" s="11" t="str">
        <f>IF(Menu!$D$18="Português",Apoio!D21,Apoio!E21)</f>
        <v>Imposto de renda e contribuição social diferidos</v>
      </c>
      <c r="B25" s="12">
        <v>39732</v>
      </c>
      <c r="C25" s="13">
        <v>39723</v>
      </c>
      <c r="D25" s="13">
        <v>23947</v>
      </c>
      <c r="E25" s="14">
        <v>0</v>
      </c>
      <c r="F25" s="17">
        <v>0</v>
      </c>
      <c r="G25" s="13">
        <v>36329</v>
      </c>
      <c r="H25" s="13">
        <v>0</v>
      </c>
      <c r="I25" s="14">
        <v>0</v>
      </c>
      <c r="J25" s="17">
        <v>0</v>
      </c>
      <c r="K25" s="13">
        <v>0</v>
      </c>
      <c r="L25" s="13">
        <v>0</v>
      </c>
      <c r="M25" s="14">
        <v>0</v>
      </c>
      <c r="N25" s="17">
        <v>0</v>
      </c>
      <c r="O25" s="13">
        <v>0</v>
      </c>
      <c r="P25" s="13">
        <v>0</v>
      </c>
      <c r="Q25" s="14">
        <v>0</v>
      </c>
      <c r="R25" s="17">
        <v>0</v>
      </c>
      <c r="S25" s="13">
        <v>0</v>
      </c>
      <c r="T25" s="13">
        <v>0</v>
      </c>
      <c r="U25" s="14">
        <v>64712</v>
      </c>
      <c r="V25" s="17">
        <v>65948</v>
      </c>
      <c r="W25" s="13">
        <v>67566</v>
      </c>
      <c r="X25" s="13">
        <v>76747</v>
      </c>
    </row>
    <row r="26" spans="1:24" s="25" customFormat="1">
      <c r="A26" s="11" t="str">
        <f>IF(Menu!$D$18="Português",Apoio!D22,Apoio!E22)</f>
        <v>Imobilizado</v>
      </c>
      <c r="B26" s="12">
        <v>124334</v>
      </c>
      <c r="C26" s="13">
        <v>121570</v>
      </c>
      <c r="D26" s="13">
        <v>227061</v>
      </c>
      <c r="E26" s="14">
        <v>238789</v>
      </c>
      <c r="F26" s="17">
        <v>236941</v>
      </c>
      <c r="G26" s="13">
        <v>254131</v>
      </c>
      <c r="H26" s="13">
        <v>252418</v>
      </c>
      <c r="I26" s="14">
        <v>199730</v>
      </c>
      <c r="J26" s="17">
        <v>206290</v>
      </c>
      <c r="K26" s="13">
        <v>214029</v>
      </c>
      <c r="L26" s="13">
        <v>222442</v>
      </c>
      <c r="M26" s="14">
        <v>240643</v>
      </c>
      <c r="N26" s="17">
        <v>247317</v>
      </c>
      <c r="O26" s="13">
        <v>263099</v>
      </c>
      <c r="P26" s="13">
        <v>347607</v>
      </c>
      <c r="Q26" s="14">
        <v>355959</v>
      </c>
      <c r="R26" s="17">
        <v>378145</v>
      </c>
      <c r="S26" s="13">
        <v>435455</v>
      </c>
      <c r="T26" s="13">
        <v>505264</v>
      </c>
      <c r="U26" s="14">
        <v>535283</v>
      </c>
      <c r="V26" s="17">
        <v>536180</v>
      </c>
      <c r="W26" s="13">
        <v>542167</v>
      </c>
      <c r="X26" s="13">
        <v>551464</v>
      </c>
    </row>
    <row r="27" spans="1:24" s="25" customFormat="1">
      <c r="A27" s="11" t="str">
        <f>IF(Menu!$D$18="Português",Apoio!D23,Apoio!E23)</f>
        <v>Intangível</v>
      </c>
      <c r="B27" s="12">
        <v>696</v>
      </c>
      <c r="C27" s="13">
        <v>734</v>
      </c>
      <c r="D27" s="13">
        <v>993</v>
      </c>
      <c r="E27" s="14">
        <v>584</v>
      </c>
      <c r="F27" s="17">
        <v>388</v>
      </c>
      <c r="G27" s="13">
        <v>1831</v>
      </c>
      <c r="H27" s="13">
        <v>1467</v>
      </c>
      <c r="I27" s="14">
        <v>1142</v>
      </c>
      <c r="J27" s="17">
        <v>947</v>
      </c>
      <c r="K27" s="13">
        <v>779</v>
      </c>
      <c r="L27" s="13">
        <v>663</v>
      </c>
      <c r="M27" s="14">
        <v>604</v>
      </c>
      <c r="N27" s="17">
        <v>539</v>
      </c>
      <c r="O27" s="13">
        <v>473</v>
      </c>
      <c r="P27" s="13">
        <v>60181</v>
      </c>
      <c r="Q27" s="14">
        <v>83316</v>
      </c>
      <c r="R27" s="17">
        <v>83717</v>
      </c>
      <c r="S27" s="13">
        <v>82113</v>
      </c>
      <c r="T27" s="13">
        <v>80660</v>
      </c>
      <c r="U27" s="14">
        <v>79048</v>
      </c>
      <c r="V27" s="17">
        <v>77246</v>
      </c>
      <c r="W27" s="13">
        <v>75498</v>
      </c>
      <c r="X27" s="13">
        <v>73757</v>
      </c>
    </row>
    <row r="28" spans="1:24" s="25" customFormat="1">
      <c r="A28" s="29" t="str">
        <f>IF(Menu!$D$18="Português",Apoio!D24,Apoio!E24)</f>
        <v>Total do ativo</v>
      </c>
      <c r="B28" s="132">
        <v>562553</v>
      </c>
      <c r="C28" s="8">
        <v>525272</v>
      </c>
      <c r="D28" s="8">
        <v>570384</v>
      </c>
      <c r="E28" s="9">
        <v>545587</v>
      </c>
      <c r="F28" s="18">
        <v>552460</v>
      </c>
      <c r="G28" s="18">
        <v>589770</v>
      </c>
      <c r="H28" s="8">
        <v>623654</v>
      </c>
      <c r="I28" s="9">
        <v>745268</v>
      </c>
      <c r="J28" s="18">
        <v>833954</v>
      </c>
      <c r="K28" s="18">
        <v>894161</v>
      </c>
      <c r="L28" s="8">
        <v>976837</v>
      </c>
      <c r="M28" s="9">
        <v>1011931</v>
      </c>
      <c r="N28" s="18">
        <v>1066419</v>
      </c>
      <c r="O28" s="18">
        <v>1063781</v>
      </c>
      <c r="P28" s="8">
        <v>1187017</v>
      </c>
      <c r="Q28" s="9">
        <v>1222267</v>
      </c>
      <c r="R28" s="18">
        <v>1168475</v>
      </c>
      <c r="S28" s="18">
        <v>1214762</v>
      </c>
      <c r="T28" s="8">
        <v>1248870</v>
      </c>
      <c r="U28" s="9">
        <v>1300366</v>
      </c>
      <c r="V28" s="18">
        <v>1282895</v>
      </c>
      <c r="W28" s="8">
        <v>1316979</v>
      </c>
      <c r="X28" s="8">
        <v>1306928</v>
      </c>
    </row>
    <row r="29" spans="1:24" s="25" customFormat="1">
      <c r="A29" s="24" t="str">
        <f>IF(Menu!$D$18="Português",Apoio!D25,Apoio!E25)</f>
        <v>PASSIVO e PATRIMÔNIO LÍQUIDO</v>
      </c>
      <c r="B29" s="26"/>
      <c r="C29" s="27"/>
      <c r="D29" s="27"/>
      <c r="E29" s="28"/>
      <c r="F29" s="50"/>
      <c r="G29" s="27"/>
      <c r="H29" s="27"/>
      <c r="I29" s="28"/>
      <c r="J29" s="50"/>
      <c r="K29" s="27"/>
      <c r="L29" s="27"/>
      <c r="M29" s="28"/>
      <c r="N29" s="50"/>
      <c r="O29" s="27"/>
      <c r="P29" s="27"/>
      <c r="Q29" s="28"/>
      <c r="R29" s="50"/>
      <c r="S29" s="27"/>
      <c r="T29" s="27"/>
      <c r="U29" s="28"/>
      <c r="V29" s="50"/>
      <c r="W29" s="27"/>
      <c r="X29" s="27"/>
    </row>
    <row r="30" spans="1:24" s="25" customFormat="1">
      <c r="A30" s="29" t="str">
        <f>IF(Menu!$D$18="Português",Apoio!D26,Apoio!E26)</f>
        <v>Circulante</v>
      </c>
      <c r="B30" s="132">
        <v>236607</v>
      </c>
      <c r="C30" s="8">
        <v>180252</v>
      </c>
      <c r="D30" s="8">
        <v>219500</v>
      </c>
      <c r="E30" s="9">
        <v>228576</v>
      </c>
      <c r="F30" s="18">
        <v>253042</v>
      </c>
      <c r="G30" s="8">
        <v>231145</v>
      </c>
      <c r="H30" s="8">
        <v>225629</v>
      </c>
      <c r="I30" s="9">
        <v>221245</v>
      </c>
      <c r="J30" s="18">
        <v>258657</v>
      </c>
      <c r="K30" s="8">
        <v>173861</v>
      </c>
      <c r="L30" s="8">
        <v>185716</v>
      </c>
      <c r="M30" s="9">
        <v>208855</v>
      </c>
      <c r="N30" s="18">
        <v>218202</v>
      </c>
      <c r="O30" s="8">
        <v>200904</v>
      </c>
      <c r="P30" s="8">
        <v>278556</v>
      </c>
      <c r="Q30" s="9">
        <v>284164</v>
      </c>
      <c r="R30" s="18">
        <v>219754</v>
      </c>
      <c r="S30" s="8">
        <v>269426</v>
      </c>
      <c r="T30" s="8">
        <v>293245</v>
      </c>
      <c r="U30" s="9">
        <v>296283</v>
      </c>
      <c r="V30" s="18">
        <v>263125</v>
      </c>
      <c r="W30" s="8">
        <v>295181</v>
      </c>
      <c r="X30" s="8">
        <v>278509</v>
      </c>
    </row>
    <row r="31" spans="1:24" s="25" customFormat="1">
      <c r="A31" s="11" t="str">
        <f>IF(Menu!$D$18="Português",Apoio!D27,Apoio!E27)</f>
        <v xml:space="preserve">Fornecedores </v>
      </c>
      <c r="B31" s="12">
        <v>45120</v>
      </c>
      <c r="C31" s="13">
        <v>48935</v>
      </c>
      <c r="D31" s="13">
        <v>67280</v>
      </c>
      <c r="E31" s="14">
        <v>59719</v>
      </c>
      <c r="F31" s="41">
        <v>64430</v>
      </c>
      <c r="G31" s="13">
        <v>64420</v>
      </c>
      <c r="H31" s="13">
        <v>64882</v>
      </c>
      <c r="I31" s="14">
        <v>60536</v>
      </c>
      <c r="J31" s="41">
        <v>64968</v>
      </c>
      <c r="K31" s="13">
        <v>44120</v>
      </c>
      <c r="L31" s="13">
        <v>45318</v>
      </c>
      <c r="M31" s="14">
        <v>50201</v>
      </c>
      <c r="N31" s="41">
        <v>54284</v>
      </c>
      <c r="O31" s="13">
        <v>52019</v>
      </c>
      <c r="P31" s="13">
        <v>59521</v>
      </c>
      <c r="Q31" s="14">
        <v>65116</v>
      </c>
      <c r="R31" s="41">
        <v>61218</v>
      </c>
      <c r="S31" s="13">
        <v>74107</v>
      </c>
      <c r="T31" s="13">
        <v>77090</v>
      </c>
      <c r="U31" s="14">
        <v>75981</v>
      </c>
      <c r="V31" s="41">
        <v>69972</v>
      </c>
      <c r="W31" s="13">
        <v>71354</v>
      </c>
      <c r="X31" s="13">
        <v>62004</v>
      </c>
    </row>
    <row r="32" spans="1:24" s="25" customFormat="1">
      <c r="A32" s="11" t="str">
        <f>IF(Menu!$D$18="Português",Apoio!D28,Apoio!E28)</f>
        <v>Empréstimos e financiamentos</v>
      </c>
      <c r="B32" s="12">
        <v>100377</v>
      </c>
      <c r="C32" s="13">
        <v>46791</v>
      </c>
      <c r="D32" s="13">
        <v>50379</v>
      </c>
      <c r="E32" s="14">
        <v>49812</v>
      </c>
      <c r="F32" s="41">
        <v>59333</v>
      </c>
      <c r="G32" s="13">
        <v>31875</v>
      </c>
      <c r="H32" s="13">
        <v>1066</v>
      </c>
      <c r="I32" s="14">
        <v>0</v>
      </c>
      <c r="J32" s="41">
        <v>7598</v>
      </c>
      <c r="K32" s="13">
        <v>7598</v>
      </c>
      <c r="L32" s="13">
        <v>6997</v>
      </c>
      <c r="M32" s="14">
        <v>3911</v>
      </c>
      <c r="N32" s="41">
        <v>3911</v>
      </c>
      <c r="O32" s="13">
        <v>3911</v>
      </c>
      <c r="P32" s="13">
        <v>53339</v>
      </c>
      <c r="Q32" s="14">
        <v>26296</v>
      </c>
      <c r="R32" s="41">
        <v>8046</v>
      </c>
      <c r="S32" s="13">
        <v>69073</v>
      </c>
      <c r="T32" s="13">
        <v>83717</v>
      </c>
      <c r="U32" s="14">
        <v>82746</v>
      </c>
      <c r="V32" s="41">
        <v>56687</v>
      </c>
      <c r="W32" s="13">
        <v>84501</v>
      </c>
      <c r="X32" s="13">
        <v>56138</v>
      </c>
    </row>
    <row r="33" spans="1:24" s="25" customFormat="1">
      <c r="A33" s="11" t="str">
        <f>IF(Menu!$D$18="Português",Apoio!D29,Apoio!E29)</f>
        <v>Partes relacionadas</v>
      </c>
      <c r="B33" s="12">
        <v>2056</v>
      </c>
      <c r="C33" s="13">
        <v>91</v>
      </c>
      <c r="D33" s="13">
        <v>0</v>
      </c>
      <c r="E33" s="14">
        <v>0</v>
      </c>
      <c r="F33" s="41">
        <v>0</v>
      </c>
      <c r="G33" s="13" t="s">
        <v>54</v>
      </c>
      <c r="H33" s="13">
        <v>0</v>
      </c>
      <c r="I33" s="14">
        <v>0</v>
      </c>
      <c r="J33" s="41">
        <v>0</v>
      </c>
      <c r="K33" s="13">
        <v>0</v>
      </c>
      <c r="L33" s="13">
        <v>0</v>
      </c>
      <c r="M33" s="14">
        <v>0</v>
      </c>
      <c r="N33" s="41">
        <v>0</v>
      </c>
      <c r="O33" s="13">
        <v>0</v>
      </c>
      <c r="P33" s="13">
        <v>0</v>
      </c>
      <c r="Q33" s="14">
        <v>0</v>
      </c>
      <c r="R33" s="41">
        <v>0</v>
      </c>
      <c r="S33" s="13">
        <v>0</v>
      </c>
      <c r="T33" s="13">
        <v>0</v>
      </c>
      <c r="U33" s="14">
        <v>0</v>
      </c>
      <c r="V33" s="41">
        <v>0</v>
      </c>
      <c r="W33" s="13">
        <v>0</v>
      </c>
      <c r="X33" s="13">
        <v>0</v>
      </c>
    </row>
    <row r="34" spans="1:24" s="25" customFormat="1">
      <c r="A34" s="11" t="str">
        <f>IF(Menu!$D$18="Português",Apoio!D30,Apoio!E30)</f>
        <v>Obrigações com pessoal</v>
      </c>
      <c r="B34" s="12">
        <v>20592</v>
      </c>
      <c r="C34" s="13">
        <v>17779</v>
      </c>
      <c r="D34" s="13">
        <v>20082</v>
      </c>
      <c r="E34" s="14">
        <v>15650</v>
      </c>
      <c r="F34" s="41">
        <v>15865</v>
      </c>
      <c r="G34" s="13">
        <v>18055</v>
      </c>
      <c r="H34" s="13">
        <v>23033</v>
      </c>
      <c r="I34" s="14">
        <v>19981</v>
      </c>
      <c r="J34" s="41">
        <v>24845</v>
      </c>
      <c r="K34" s="13">
        <v>24559</v>
      </c>
      <c r="L34" s="13">
        <v>31147</v>
      </c>
      <c r="M34" s="14">
        <v>29530</v>
      </c>
      <c r="N34" s="41">
        <v>33361</v>
      </c>
      <c r="O34" s="13">
        <v>28397</v>
      </c>
      <c r="P34" s="13">
        <v>35658</v>
      </c>
      <c r="Q34" s="14">
        <v>29480</v>
      </c>
      <c r="R34" s="41">
        <v>31332</v>
      </c>
      <c r="S34" s="13">
        <v>34547</v>
      </c>
      <c r="T34" s="13">
        <v>36808</v>
      </c>
      <c r="U34" s="14">
        <v>31852</v>
      </c>
      <c r="V34" s="41">
        <v>36336</v>
      </c>
      <c r="W34" s="13">
        <v>35454</v>
      </c>
      <c r="X34" s="13">
        <v>42245</v>
      </c>
    </row>
    <row r="35" spans="1:24" s="25" customFormat="1">
      <c r="A35" s="11" t="str">
        <f>IF(Menu!$D$18="Português",Apoio!D31,Apoio!E31)</f>
        <v>Dividendos e juros sobre o capital próprio a pagar</v>
      </c>
      <c r="B35" s="12">
        <v>23</v>
      </c>
      <c r="C35" s="13">
        <v>0</v>
      </c>
      <c r="D35" s="13">
        <v>0</v>
      </c>
      <c r="E35" s="14">
        <v>0</v>
      </c>
      <c r="F35" s="17">
        <v>0</v>
      </c>
      <c r="G35" s="13">
        <v>0</v>
      </c>
      <c r="H35" s="13">
        <v>0</v>
      </c>
      <c r="I35" s="14">
        <v>0</v>
      </c>
      <c r="J35" s="17">
        <v>0</v>
      </c>
      <c r="K35" s="13">
        <v>0</v>
      </c>
      <c r="L35" s="13">
        <v>0</v>
      </c>
      <c r="M35" s="14">
        <v>24355</v>
      </c>
      <c r="N35" s="17">
        <v>24355</v>
      </c>
      <c r="O35" s="13">
        <v>15726</v>
      </c>
      <c r="P35" s="13">
        <v>8768</v>
      </c>
      <c r="Q35" s="14">
        <v>17763</v>
      </c>
      <c r="R35" s="17">
        <v>4258</v>
      </c>
      <c r="S35" s="13">
        <v>4583</v>
      </c>
      <c r="T35" s="13">
        <v>4197</v>
      </c>
      <c r="U35" s="14">
        <v>24881</v>
      </c>
      <c r="V35" s="17">
        <v>10284</v>
      </c>
      <c r="W35" s="13">
        <v>12213</v>
      </c>
      <c r="X35" s="13">
        <v>13014</v>
      </c>
    </row>
    <row r="36" spans="1:24" s="25" customFormat="1">
      <c r="A36" s="11" t="str">
        <f>IF(Menu!$D$18="Português",Apoio!D32,Apoio!E32)</f>
        <v>Impostos, taxas e contribuições a recolher</v>
      </c>
      <c r="B36" s="12">
        <v>18000</v>
      </c>
      <c r="C36" s="13">
        <v>19533</v>
      </c>
      <c r="D36" s="13">
        <v>40874</v>
      </c>
      <c r="E36" s="14">
        <v>19559</v>
      </c>
      <c r="F36" s="41">
        <v>28488</v>
      </c>
      <c r="G36" s="13">
        <v>29602</v>
      </c>
      <c r="H36" s="13">
        <v>34669</v>
      </c>
      <c r="I36" s="14">
        <v>31029</v>
      </c>
      <c r="J36" s="41">
        <v>46974</v>
      </c>
      <c r="K36" s="13">
        <v>36073</v>
      </c>
      <c r="L36" s="13">
        <v>39779</v>
      </c>
      <c r="M36" s="14">
        <v>34919</v>
      </c>
      <c r="N36" s="41">
        <v>38736</v>
      </c>
      <c r="O36" s="13">
        <v>36127</v>
      </c>
      <c r="P36" s="13">
        <v>34466</v>
      </c>
      <c r="Q36" s="14">
        <v>30722</v>
      </c>
      <c r="R36" s="41">
        <v>36503</v>
      </c>
      <c r="S36" s="13">
        <v>26385</v>
      </c>
      <c r="T36" s="13">
        <v>27805</v>
      </c>
      <c r="U36" s="14">
        <v>20730</v>
      </c>
      <c r="V36" s="41">
        <v>22013</v>
      </c>
      <c r="W36" s="13">
        <v>25519</v>
      </c>
      <c r="X36" s="13">
        <v>31514</v>
      </c>
    </row>
    <row r="37" spans="1:24" s="25" customFormat="1">
      <c r="A37" s="11" t="str">
        <f>IF(Menu!$D$18="Português",Apoio!D33,Apoio!E33)</f>
        <v>Provisão para benefício pós-emprego</v>
      </c>
      <c r="B37" s="12">
        <v>6515</v>
      </c>
      <c r="C37" s="13">
        <v>6515</v>
      </c>
      <c r="D37" s="13">
        <v>6515</v>
      </c>
      <c r="E37" s="14">
        <v>7118</v>
      </c>
      <c r="F37" s="41">
        <v>7118</v>
      </c>
      <c r="G37" s="13">
        <v>7118</v>
      </c>
      <c r="H37" s="13">
        <v>7118</v>
      </c>
      <c r="I37" s="14">
        <v>7211</v>
      </c>
      <c r="J37" s="41">
        <v>7211</v>
      </c>
      <c r="K37" s="13">
        <v>7211</v>
      </c>
      <c r="L37" s="13">
        <v>7211</v>
      </c>
      <c r="M37" s="14">
        <v>7851</v>
      </c>
      <c r="N37" s="41">
        <v>7851</v>
      </c>
      <c r="O37" s="13">
        <v>7851</v>
      </c>
      <c r="P37" s="13">
        <v>7851</v>
      </c>
      <c r="Q37" s="14">
        <v>6947</v>
      </c>
      <c r="R37" s="41">
        <v>6947</v>
      </c>
      <c r="S37" s="13">
        <v>6947</v>
      </c>
      <c r="T37" s="13">
        <v>6947</v>
      </c>
      <c r="U37" s="14">
        <v>6927</v>
      </c>
      <c r="V37" s="41">
        <v>6927</v>
      </c>
      <c r="W37" s="13">
        <v>6927</v>
      </c>
      <c r="X37" s="13">
        <v>6927</v>
      </c>
    </row>
    <row r="38" spans="1:24" s="25" customFormat="1">
      <c r="A38" s="11" t="str">
        <f>IF(Menu!$D$18="Português",Apoio!D34,Apoio!E34)</f>
        <v>Obrigações de arrendamento</v>
      </c>
      <c r="B38" s="12">
        <v>0</v>
      </c>
      <c r="C38" s="13">
        <v>0</v>
      </c>
      <c r="D38" s="13">
        <v>1520</v>
      </c>
      <c r="E38" s="14">
        <v>2095</v>
      </c>
      <c r="F38" s="41">
        <v>2669</v>
      </c>
      <c r="G38" s="13">
        <v>3053</v>
      </c>
      <c r="H38" s="13">
        <v>3531</v>
      </c>
      <c r="I38" s="14">
        <v>4106</v>
      </c>
      <c r="J38" s="41">
        <v>4681</v>
      </c>
      <c r="K38" s="13">
        <v>5324</v>
      </c>
      <c r="L38" s="13">
        <v>5968</v>
      </c>
      <c r="M38" s="14">
        <v>6572</v>
      </c>
      <c r="N38" s="41">
        <v>3607</v>
      </c>
      <c r="O38" s="13">
        <v>3607</v>
      </c>
      <c r="P38" s="13">
        <v>3607</v>
      </c>
      <c r="Q38" s="14">
        <v>3607</v>
      </c>
      <c r="R38" s="41">
        <v>3607</v>
      </c>
      <c r="S38" s="13">
        <v>3607</v>
      </c>
      <c r="T38" s="13">
        <v>3607</v>
      </c>
      <c r="U38" s="14">
        <v>3607</v>
      </c>
      <c r="V38" s="41">
        <v>3607</v>
      </c>
      <c r="W38" s="13">
        <v>3607</v>
      </c>
      <c r="X38" s="13">
        <v>3607</v>
      </c>
    </row>
    <row r="39" spans="1:24" s="25" customFormat="1">
      <c r="A39" s="11" t="str">
        <f>IF(Menu!$D$18="Português",Apoio!D35,Apoio!E35)</f>
        <v>Outros passivos circulantes</v>
      </c>
      <c r="B39" s="12">
        <v>43579</v>
      </c>
      <c r="C39" s="13">
        <f>40217+46</f>
        <v>40263</v>
      </c>
      <c r="D39" s="13">
        <v>32683</v>
      </c>
      <c r="E39" s="14">
        <v>74623</v>
      </c>
      <c r="F39" s="41">
        <v>75139</v>
      </c>
      <c r="G39" s="13">
        <v>77022</v>
      </c>
      <c r="H39" s="13">
        <v>91330</v>
      </c>
      <c r="I39" s="14">
        <v>98382</v>
      </c>
      <c r="J39" s="41">
        <v>102380</v>
      </c>
      <c r="K39" s="13">
        <v>48976</v>
      </c>
      <c r="L39" s="13">
        <v>49296</v>
      </c>
      <c r="M39" s="14">
        <v>51516</v>
      </c>
      <c r="N39" s="41">
        <v>52097</v>
      </c>
      <c r="O39" s="13">
        <v>53266</v>
      </c>
      <c r="P39" s="13">
        <v>75346</v>
      </c>
      <c r="Q39" s="14">
        <v>104233</v>
      </c>
      <c r="R39" s="41">
        <v>67843</v>
      </c>
      <c r="S39" s="13">
        <v>50177</v>
      </c>
      <c r="T39" s="13">
        <v>53074</v>
      </c>
      <c r="U39" s="14">
        <v>49559</v>
      </c>
      <c r="V39" s="41">
        <v>57299</v>
      </c>
      <c r="W39" s="13">
        <v>55606</v>
      </c>
      <c r="X39" s="13">
        <v>63060</v>
      </c>
    </row>
    <row r="40" spans="1:24" s="25" customFormat="1">
      <c r="A40" s="11" t="str">
        <f>IF(Menu!$D$18="Português",Apoio!D38,Apoio!E38)</f>
        <v>Provisão para reestruturação</v>
      </c>
      <c r="B40" s="12">
        <v>345</v>
      </c>
      <c r="C40" s="13">
        <v>345</v>
      </c>
      <c r="D40" s="13">
        <v>167</v>
      </c>
      <c r="E40" s="14">
        <v>0</v>
      </c>
      <c r="F40" s="41">
        <v>0</v>
      </c>
      <c r="G40" s="13">
        <v>0</v>
      </c>
      <c r="H40" s="13">
        <v>0</v>
      </c>
      <c r="I40" s="14">
        <v>0</v>
      </c>
      <c r="J40" s="41">
        <v>0</v>
      </c>
      <c r="K40" s="13">
        <v>0</v>
      </c>
      <c r="L40" s="13">
        <v>0</v>
      </c>
      <c r="M40" s="14">
        <v>0</v>
      </c>
      <c r="N40" s="41">
        <v>0</v>
      </c>
      <c r="O40" s="13">
        <v>0</v>
      </c>
      <c r="P40" s="13">
        <v>0</v>
      </c>
      <c r="Q40" s="14">
        <v>0</v>
      </c>
      <c r="R40" s="41">
        <v>0</v>
      </c>
      <c r="S40" s="13">
        <v>0</v>
      </c>
      <c r="T40" s="13">
        <v>0</v>
      </c>
      <c r="U40" s="14" t="s">
        <v>54</v>
      </c>
      <c r="V40" s="41">
        <v>0</v>
      </c>
      <c r="W40" s="13">
        <v>0</v>
      </c>
      <c r="X40" s="13">
        <v>0</v>
      </c>
    </row>
    <row r="41" spans="1:24" s="25" customFormat="1">
      <c r="A41" s="29" t="str">
        <f>IF(Menu!$D$18="Português",Apoio!D40,Apoio!E40)</f>
        <v>Não circulante</v>
      </c>
      <c r="B41" s="132">
        <v>339163</v>
      </c>
      <c r="C41" s="8">
        <v>387769</v>
      </c>
      <c r="D41" s="8">
        <v>353187</v>
      </c>
      <c r="E41" s="9">
        <v>319789</v>
      </c>
      <c r="F41" s="18">
        <v>317050</v>
      </c>
      <c r="G41" s="8">
        <v>317132</v>
      </c>
      <c r="H41" s="8">
        <v>316576</v>
      </c>
      <c r="I41" s="9">
        <v>309012</v>
      </c>
      <c r="J41" s="18">
        <v>301852</v>
      </c>
      <c r="K41" s="8">
        <v>277200</v>
      </c>
      <c r="L41" s="8">
        <v>250007</v>
      </c>
      <c r="M41" s="9">
        <v>239721</v>
      </c>
      <c r="N41" s="18">
        <v>242565</v>
      </c>
      <c r="O41" s="8">
        <v>235279</v>
      </c>
      <c r="P41" s="8">
        <v>248474</v>
      </c>
      <c r="Q41" s="9">
        <v>261805</v>
      </c>
      <c r="R41" s="18">
        <v>255899</v>
      </c>
      <c r="S41" s="8">
        <v>251111</v>
      </c>
      <c r="T41" s="8">
        <v>245121</v>
      </c>
      <c r="U41" s="9">
        <v>234277</v>
      </c>
      <c r="V41" s="18">
        <v>249722</v>
      </c>
      <c r="W41" s="8">
        <v>242861</v>
      </c>
      <c r="X41" s="8">
        <v>234072</v>
      </c>
    </row>
    <row r="42" spans="1:24" s="25" customFormat="1">
      <c r="A42" s="11" t="str">
        <f>IF(Menu!$D$18="Português",Apoio!D41,Apoio!E41)</f>
        <v>Empréstimos e financiamentos</v>
      </c>
      <c r="B42" s="12">
        <v>32101</v>
      </c>
      <c r="C42" s="13">
        <v>77789</v>
      </c>
      <c r="D42" s="13">
        <v>58419</v>
      </c>
      <c r="E42" s="14">
        <v>63762</v>
      </c>
      <c r="F42" s="41">
        <v>64394</v>
      </c>
      <c r="G42" s="13">
        <v>65027</v>
      </c>
      <c r="H42" s="13">
        <v>65712</v>
      </c>
      <c r="I42" s="14">
        <v>66388</v>
      </c>
      <c r="J42" s="41">
        <v>60641</v>
      </c>
      <c r="K42" s="13">
        <v>36946</v>
      </c>
      <c r="L42" s="13">
        <v>31375</v>
      </c>
      <c r="M42" s="14">
        <v>33485</v>
      </c>
      <c r="N42" s="41">
        <v>32501</v>
      </c>
      <c r="O42" s="13">
        <v>31509</v>
      </c>
      <c r="P42" s="13">
        <v>30525</v>
      </c>
      <c r="Q42" s="14">
        <v>58295</v>
      </c>
      <c r="R42" s="41">
        <v>56061</v>
      </c>
      <c r="S42" s="13">
        <v>56828</v>
      </c>
      <c r="T42" s="13">
        <v>62293</v>
      </c>
      <c r="U42" s="14">
        <v>59551</v>
      </c>
      <c r="V42" s="41">
        <v>72959</v>
      </c>
      <c r="W42" s="13">
        <v>69151</v>
      </c>
      <c r="X42" s="13">
        <v>67235</v>
      </c>
    </row>
    <row r="43" spans="1:24" s="25" customFormat="1">
      <c r="A43" s="11" t="str">
        <f>IF(Menu!$D$18="Português",Apoio!D43,Apoio!E43)</f>
        <v>Impostos, taxas e contribuições a recolher</v>
      </c>
      <c r="B43" s="12">
        <v>33849</v>
      </c>
      <c r="C43" s="13">
        <v>31252</v>
      </c>
      <c r="D43" s="13">
        <v>28805</v>
      </c>
      <c r="E43" s="14">
        <v>48774</v>
      </c>
      <c r="F43" s="41">
        <v>46077</v>
      </c>
      <c r="G43" s="13">
        <v>45025</v>
      </c>
      <c r="H43" s="13">
        <v>44569</v>
      </c>
      <c r="I43" s="14">
        <v>42356</v>
      </c>
      <c r="J43" s="41">
        <v>42115</v>
      </c>
      <c r="K43" s="13">
        <v>41161</v>
      </c>
      <c r="L43" s="13">
        <v>33170</v>
      </c>
      <c r="M43" s="14">
        <v>32893</v>
      </c>
      <c r="N43" s="41">
        <v>30615</v>
      </c>
      <c r="O43" s="13">
        <v>28958</v>
      </c>
      <c r="P43" s="13">
        <v>22682</v>
      </c>
      <c r="Q43" s="14">
        <v>22377</v>
      </c>
      <c r="R43" s="41">
        <v>21106</v>
      </c>
      <c r="S43" s="13">
        <v>19729</v>
      </c>
      <c r="T43" s="13">
        <v>14608</v>
      </c>
      <c r="U43" s="14">
        <v>14477</v>
      </c>
      <c r="V43" s="41">
        <v>14247</v>
      </c>
      <c r="W43" s="13">
        <v>13677</v>
      </c>
      <c r="X43" s="13">
        <v>13185</v>
      </c>
    </row>
    <row r="44" spans="1:24" s="25" customFormat="1">
      <c r="A44" s="11" t="str">
        <f>IF(Menu!$D$18="Português",Apoio!D44,Apoio!E44)</f>
        <v>Obrigações com pessoal</v>
      </c>
      <c r="B44" s="12">
        <v>14335</v>
      </c>
      <c r="C44" s="13">
        <v>13900</v>
      </c>
      <c r="D44" s="13">
        <v>9961</v>
      </c>
      <c r="E44" s="14">
        <v>9974</v>
      </c>
      <c r="F44" s="41">
        <v>9675</v>
      </c>
      <c r="G44" s="13">
        <v>9351</v>
      </c>
      <c r="H44" s="13">
        <v>8952</v>
      </c>
      <c r="I44" s="14">
        <v>9006</v>
      </c>
      <c r="J44" s="41">
        <v>8796</v>
      </c>
      <c r="K44" s="13">
        <v>7848</v>
      </c>
      <c r="L44" s="13">
        <v>7737</v>
      </c>
      <c r="M44" s="14">
        <v>7007</v>
      </c>
      <c r="N44" s="41">
        <v>6984</v>
      </c>
      <c r="O44" s="13">
        <v>6635</v>
      </c>
      <c r="P44" s="13">
        <v>6872</v>
      </c>
      <c r="Q44" s="14">
        <v>6779</v>
      </c>
      <c r="R44" s="41">
        <v>5492</v>
      </c>
      <c r="S44" s="13">
        <v>5422</v>
      </c>
      <c r="T44" s="13">
        <v>5643</v>
      </c>
      <c r="U44" s="14">
        <v>5930</v>
      </c>
      <c r="V44" s="41">
        <v>6168</v>
      </c>
      <c r="W44" s="13">
        <v>4506</v>
      </c>
      <c r="X44" s="13">
        <v>4743</v>
      </c>
    </row>
    <row r="45" spans="1:24" s="25" customFormat="1">
      <c r="A45" s="11" t="str">
        <f>IF(Menu!$D$18="Português",Apoio!D45,Apoio!E45)</f>
        <v>Provisão para riscos tributários, cíveis e trabalhistas</v>
      </c>
      <c r="B45" s="147">
        <v>116659</v>
      </c>
      <c r="C45" s="23">
        <v>120541</v>
      </c>
      <c r="D45" s="23">
        <v>121013</v>
      </c>
      <c r="E45" s="52">
        <v>86620</v>
      </c>
      <c r="F45" s="48">
        <v>86638</v>
      </c>
      <c r="G45" s="23">
        <v>87643</v>
      </c>
      <c r="H45" s="23">
        <v>87777</v>
      </c>
      <c r="I45" s="52">
        <v>81613</v>
      </c>
      <c r="J45" s="48">
        <v>81729</v>
      </c>
      <c r="K45" s="23">
        <v>84294</v>
      </c>
      <c r="L45" s="23">
        <v>78105</v>
      </c>
      <c r="M45" s="52">
        <v>71205</v>
      </c>
      <c r="N45" s="48">
        <v>70363</v>
      </c>
      <c r="O45" s="23">
        <v>71003</v>
      </c>
      <c r="P45" s="23">
        <v>69417</v>
      </c>
      <c r="Q45" s="14">
        <v>69914</v>
      </c>
      <c r="R45" s="48">
        <v>69880</v>
      </c>
      <c r="S45" s="23">
        <v>68624</v>
      </c>
      <c r="T45" s="23">
        <v>68687</v>
      </c>
      <c r="U45" s="14">
        <v>68817</v>
      </c>
      <c r="V45" s="48">
        <v>70311</v>
      </c>
      <c r="W45" s="23">
        <v>70493</v>
      </c>
      <c r="X45" s="23">
        <v>66182</v>
      </c>
    </row>
    <row r="46" spans="1:24" s="25" customFormat="1" ht="16.5" customHeight="1">
      <c r="A46" s="11" t="str">
        <f>IF(Menu!$D$18="Português",Apoio!D46,Apoio!E46)</f>
        <v>Provisão para benefício pós-emprego</v>
      </c>
      <c r="B46" s="12">
        <v>76947</v>
      </c>
      <c r="C46" s="13">
        <v>77104</v>
      </c>
      <c r="D46" s="13">
        <v>77261</v>
      </c>
      <c r="E46" s="14">
        <v>94486</v>
      </c>
      <c r="F46" s="41">
        <v>94710</v>
      </c>
      <c r="G46" s="13">
        <v>94934</v>
      </c>
      <c r="H46" s="13">
        <v>95158</v>
      </c>
      <c r="I46" s="14">
        <v>84686</v>
      </c>
      <c r="J46" s="41">
        <v>84503</v>
      </c>
      <c r="K46" s="13">
        <v>84320</v>
      </c>
      <c r="L46" s="13">
        <v>84137</v>
      </c>
      <c r="M46" s="14">
        <v>73773</v>
      </c>
      <c r="N46" s="41">
        <v>73816</v>
      </c>
      <c r="O46" s="13">
        <v>73859</v>
      </c>
      <c r="P46" s="13">
        <v>73902</v>
      </c>
      <c r="Q46" s="14">
        <v>61241</v>
      </c>
      <c r="R46" s="41">
        <v>61122</v>
      </c>
      <c r="S46" s="13">
        <v>61003</v>
      </c>
      <c r="T46" s="13">
        <v>60883</v>
      </c>
      <c r="U46" s="14">
        <v>61119</v>
      </c>
      <c r="V46" s="41">
        <v>61075</v>
      </c>
      <c r="W46" s="13">
        <v>61031</v>
      </c>
      <c r="X46" s="13">
        <v>60987</v>
      </c>
    </row>
    <row r="47" spans="1:24" s="25" customFormat="1">
      <c r="A47" s="11" t="str">
        <f>IF(Menu!$D$18="Português",Apoio!D47,Apoio!E47)</f>
        <v>Provisão para desmobilização da mina</v>
      </c>
      <c r="B47" s="12">
        <v>21424</v>
      </c>
      <c r="C47" s="13">
        <v>18721</v>
      </c>
      <c r="D47" s="13">
        <v>6623</v>
      </c>
      <c r="E47" s="14">
        <v>6817</v>
      </c>
      <c r="F47" s="41">
        <v>6817</v>
      </c>
      <c r="G47" s="13">
        <v>6817</v>
      </c>
      <c r="H47" s="13">
        <v>6817</v>
      </c>
      <c r="I47" s="14">
        <v>7125</v>
      </c>
      <c r="J47" s="41">
        <v>7125</v>
      </c>
      <c r="K47" s="13">
        <v>7125</v>
      </c>
      <c r="L47" s="13">
        <v>7125</v>
      </c>
      <c r="M47" s="14">
        <v>9273</v>
      </c>
      <c r="N47" s="41">
        <v>9273</v>
      </c>
      <c r="O47" s="13">
        <v>9273</v>
      </c>
      <c r="P47" s="13">
        <v>9273</v>
      </c>
      <c r="Q47" s="14">
        <v>9982</v>
      </c>
      <c r="R47" s="41">
        <v>9982</v>
      </c>
      <c r="S47" s="13">
        <v>7465</v>
      </c>
      <c r="T47" s="13">
        <v>6205</v>
      </c>
      <c r="U47" s="14">
        <v>11756</v>
      </c>
      <c r="V47" s="41">
        <v>11024</v>
      </c>
      <c r="W47" s="13">
        <v>10405</v>
      </c>
      <c r="X47" s="13">
        <v>8482</v>
      </c>
    </row>
    <row r="48" spans="1:24" s="25" customFormat="1">
      <c r="A48" s="11" t="str">
        <f>IF(Menu!$D$18="Português",Apoio!D48,Apoio!E48)</f>
        <v>Provisão para perdas em investimentos</v>
      </c>
      <c r="B48" s="12">
        <v>32878</v>
      </c>
      <c r="C48" s="13">
        <v>37492</v>
      </c>
      <c r="D48" s="13">
        <v>0</v>
      </c>
      <c r="E48" s="14">
        <v>0</v>
      </c>
      <c r="F48" s="41">
        <v>0</v>
      </c>
      <c r="G48" s="13">
        <v>0</v>
      </c>
      <c r="H48" s="13">
        <v>0</v>
      </c>
      <c r="I48" s="14">
        <v>0</v>
      </c>
      <c r="J48" s="41">
        <v>0</v>
      </c>
      <c r="K48" s="13">
        <v>0</v>
      </c>
      <c r="L48" s="13">
        <v>0</v>
      </c>
      <c r="M48" s="14" t="s">
        <v>54</v>
      </c>
      <c r="N48" s="41">
        <v>13294</v>
      </c>
      <c r="O48" s="13">
        <v>0</v>
      </c>
      <c r="P48" s="13">
        <v>0</v>
      </c>
      <c r="Q48" s="14">
        <v>0</v>
      </c>
      <c r="R48" s="41">
        <v>0</v>
      </c>
      <c r="S48" s="13">
        <v>0</v>
      </c>
      <c r="T48" s="13">
        <v>0</v>
      </c>
      <c r="U48" s="14" t="s">
        <v>54</v>
      </c>
      <c r="V48" s="41">
        <v>0</v>
      </c>
      <c r="W48" s="13">
        <v>0</v>
      </c>
      <c r="X48" s="13">
        <v>0</v>
      </c>
    </row>
    <row r="49" spans="1:24" s="25" customFormat="1">
      <c r="A49" s="11" t="str">
        <f>IF(Menu!$D$18="Português",Apoio!D50,Apoio!E50)</f>
        <v>Imposto de renda e contribuição social diferido</v>
      </c>
      <c r="B49" s="12">
        <v>0</v>
      </c>
      <c r="C49" s="13">
        <v>0</v>
      </c>
      <c r="D49" s="13">
        <v>0</v>
      </c>
      <c r="E49" s="14">
        <v>0</v>
      </c>
      <c r="F49" s="41">
        <v>522</v>
      </c>
      <c r="G49" s="13">
        <v>651</v>
      </c>
      <c r="H49" s="13">
        <v>656</v>
      </c>
      <c r="I49" s="14">
        <v>12702</v>
      </c>
      <c r="J49" s="41">
        <v>12706</v>
      </c>
      <c r="K49" s="13">
        <v>12275</v>
      </c>
      <c r="L49" s="13">
        <v>6200</v>
      </c>
      <c r="M49" s="14">
        <v>10871</v>
      </c>
      <c r="N49" s="41">
        <v>5719</v>
      </c>
      <c r="O49" s="13">
        <v>1066</v>
      </c>
      <c r="P49" s="13">
        <v>23145</v>
      </c>
      <c r="Q49" s="14">
        <v>20877</v>
      </c>
      <c r="R49" s="41">
        <v>18631</v>
      </c>
      <c r="S49" s="13">
        <v>18748</v>
      </c>
      <c r="T49" s="13">
        <v>13843</v>
      </c>
      <c r="U49" s="14" t="s">
        <v>54</v>
      </c>
      <c r="V49" s="41">
        <v>0</v>
      </c>
      <c r="W49" s="13">
        <v>0</v>
      </c>
      <c r="X49" s="13">
        <v>0</v>
      </c>
    </row>
    <row r="50" spans="1:24" s="25" customFormat="1">
      <c r="A50" s="11" t="str">
        <f>IF(Menu!$D$18="Português",Apoio!D51,Apoio!E51)</f>
        <v>Outros passivos não circulantes</v>
      </c>
      <c r="B50" s="12">
        <v>10970</v>
      </c>
      <c r="C50" s="13">
        <v>10970</v>
      </c>
      <c r="D50" s="13">
        <v>51105</v>
      </c>
      <c r="E50" s="14">
        <v>9356</v>
      </c>
      <c r="F50" s="41">
        <v>8217</v>
      </c>
      <c r="G50" s="13">
        <v>7684</v>
      </c>
      <c r="H50" s="13">
        <v>6935</v>
      </c>
      <c r="I50" s="14">
        <v>5136</v>
      </c>
      <c r="J50" s="41">
        <v>4237</v>
      </c>
      <c r="K50" s="13">
        <v>3231</v>
      </c>
      <c r="L50" s="13">
        <v>2158</v>
      </c>
      <c r="M50" s="14">
        <v>1214</v>
      </c>
      <c r="N50" s="41">
        <v>0</v>
      </c>
      <c r="O50" s="13">
        <v>0</v>
      </c>
      <c r="P50" s="13">
        <v>12658</v>
      </c>
      <c r="Q50" s="14">
        <v>12340</v>
      </c>
      <c r="R50" s="41">
        <v>13625</v>
      </c>
      <c r="S50" s="13">
        <v>13292</v>
      </c>
      <c r="T50" s="13">
        <v>12959</v>
      </c>
      <c r="U50" s="14">
        <v>12627</v>
      </c>
      <c r="V50" s="41">
        <v>13938</v>
      </c>
      <c r="W50" s="13">
        <v>13598</v>
      </c>
      <c r="X50" s="13">
        <v>0</v>
      </c>
    </row>
    <row r="51" spans="1:24">
      <c r="A51" s="29" t="str">
        <f>IF(Menu!$D$18="Português",Apoio!D52,Apoio!E52)</f>
        <v>Patrimônio líquido</v>
      </c>
      <c r="B51" s="40">
        <v>-13217</v>
      </c>
      <c r="C51" s="8">
        <v>-42749</v>
      </c>
      <c r="D51" s="8">
        <v>-2303</v>
      </c>
      <c r="E51" s="9">
        <v>-2778</v>
      </c>
      <c r="F51" s="47">
        <v>-17632</v>
      </c>
      <c r="G51" s="8">
        <v>41493</v>
      </c>
      <c r="H51" s="8">
        <v>81449</v>
      </c>
      <c r="I51" s="9">
        <v>215011</v>
      </c>
      <c r="J51" s="47">
        <v>273445</v>
      </c>
      <c r="K51" s="8">
        <v>442976</v>
      </c>
      <c r="L51" s="8">
        <v>540970</v>
      </c>
      <c r="M51" s="9">
        <v>563245</v>
      </c>
      <c r="N51" s="47">
        <v>605502</v>
      </c>
      <c r="O51" s="8">
        <v>627408</v>
      </c>
      <c r="P51" s="8">
        <v>659782</v>
      </c>
      <c r="Q51" s="9">
        <v>676188</v>
      </c>
      <c r="R51" s="47">
        <v>692696</v>
      </c>
      <c r="S51" s="8">
        <v>694083</v>
      </c>
      <c r="T51" s="8">
        <v>710421</v>
      </c>
      <c r="U51" s="9">
        <v>769697</v>
      </c>
      <c r="V51" s="47">
        <v>769884</v>
      </c>
      <c r="W51" s="8">
        <v>778772</v>
      </c>
      <c r="X51" s="8">
        <v>794181</v>
      </c>
    </row>
    <row r="52" spans="1:24">
      <c r="A52" s="11" t="str">
        <f>IF(Menu!$D$18="Português",Apoio!D53,Apoio!E53)</f>
        <v>Capital social</v>
      </c>
      <c r="B52" s="12">
        <v>334251</v>
      </c>
      <c r="C52" s="13">
        <v>334251</v>
      </c>
      <c r="D52" s="13">
        <v>338967</v>
      </c>
      <c r="E52" s="14">
        <v>338967</v>
      </c>
      <c r="F52" s="41">
        <v>338967</v>
      </c>
      <c r="G52" s="13">
        <v>385537</v>
      </c>
      <c r="H52" s="13">
        <v>385537</v>
      </c>
      <c r="I52" s="14">
        <v>385537</v>
      </c>
      <c r="J52" s="41">
        <v>385537</v>
      </c>
      <c r="K52" s="13">
        <v>495537</v>
      </c>
      <c r="L52" s="13">
        <v>438082</v>
      </c>
      <c r="M52" s="14">
        <v>438082</v>
      </c>
      <c r="N52" s="41">
        <v>438082</v>
      </c>
      <c r="O52" s="13">
        <v>438082</v>
      </c>
      <c r="P52" s="13">
        <v>438082</v>
      </c>
      <c r="Q52" s="14">
        <v>438082</v>
      </c>
      <c r="R52" s="41">
        <v>438082</v>
      </c>
      <c r="S52" s="13">
        <v>438082</v>
      </c>
      <c r="T52" s="13">
        <v>438082</v>
      </c>
      <c r="U52" s="14">
        <v>438082</v>
      </c>
      <c r="V52" s="41">
        <v>438082</v>
      </c>
      <c r="W52" s="13">
        <v>438082</v>
      </c>
      <c r="X52" s="13">
        <v>438082</v>
      </c>
    </row>
    <row r="53" spans="1:24">
      <c r="A53" s="11" t="str">
        <f>IF(Menu!$D$18="Português",Apoio!D54,Apoio!E54)</f>
        <v>Reserva de capital</v>
      </c>
      <c r="B53" s="12">
        <v>19437</v>
      </c>
      <c r="C53" s="13">
        <v>19437</v>
      </c>
      <c r="D53" s="13">
        <v>19437</v>
      </c>
      <c r="E53" s="14">
        <v>19437</v>
      </c>
      <c r="F53" s="41">
        <v>19438</v>
      </c>
      <c r="G53" s="13">
        <v>0</v>
      </c>
      <c r="H53" s="13">
        <v>0</v>
      </c>
      <c r="I53" s="14">
        <v>0</v>
      </c>
      <c r="J53" s="41">
        <v>0</v>
      </c>
      <c r="K53" s="13">
        <v>0</v>
      </c>
      <c r="L53" s="13" t="s">
        <v>54</v>
      </c>
      <c r="M53" s="14">
        <v>0</v>
      </c>
      <c r="N53" s="41">
        <v>0</v>
      </c>
      <c r="O53" s="13">
        <v>74760</v>
      </c>
      <c r="P53" s="13">
        <v>78982</v>
      </c>
      <c r="Q53" s="14">
        <v>81093</v>
      </c>
      <c r="R53" s="41">
        <v>82737</v>
      </c>
      <c r="S53" s="13">
        <v>84053</v>
      </c>
      <c r="T53" s="13">
        <v>85151</v>
      </c>
      <c r="U53" s="14">
        <v>85481</v>
      </c>
      <c r="V53" s="41">
        <v>86916</v>
      </c>
      <c r="W53" s="13">
        <v>88944</v>
      </c>
      <c r="X53" s="13">
        <v>90096</v>
      </c>
    </row>
    <row r="54" spans="1:24">
      <c r="A54" s="11" t="str">
        <f>IF(Menu!$D$18="Português",Apoio!D55,Apoio!E55)</f>
        <v>Ações em tesouraria</v>
      </c>
      <c r="B54" s="12">
        <v>-174</v>
      </c>
      <c r="C54" s="13">
        <v>-174</v>
      </c>
      <c r="D54" s="13">
        <v>-174</v>
      </c>
      <c r="E54" s="14">
        <v>-174</v>
      </c>
      <c r="F54" s="41">
        <v>-174</v>
      </c>
      <c r="G54" s="13">
        <v>-174</v>
      </c>
      <c r="H54" s="13">
        <v>-174</v>
      </c>
      <c r="I54" s="14">
        <v>-174</v>
      </c>
      <c r="J54" s="41">
        <v>-174</v>
      </c>
      <c r="K54" s="13">
        <v>-174</v>
      </c>
      <c r="L54" s="13">
        <v>-174</v>
      </c>
      <c r="M54" s="14">
        <v>-174</v>
      </c>
      <c r="N54" s="41">
        <v>-174</v>
      </c>
      <c r="O54" s="13">
        <v>-174</v>
      </c>
      <c r="P54" s="13">
        <v>-174</v>
      </c>
      <c r="Q54" s="14">
        <v>-174</v>
      </c>
      <c r="R54" s="41">
        <v>-844</v>
      </c>
      <c r="S54" s="13">
        <v>-590</v>
      </c>
      <c r="T54" s="13">
        <v>-590</v>
      </c>
      <c r="U54" s="14">
        <v>-590</v>
      </c>
      <c r="V54" s="41">
        <v>-590</v>
      </c>
      <c r="W54" s="13">
        <v>-1121</v>
      </c>
      <c r="X54" s="13">
        <v>-1121</v>
      </c>
    </row>
    <row r="55" spans="1:24">
      <c r="A55" s="11" t="str">
        <f>IF(Menu!$D$18="Português",Apoio!D56,Apoio!E56)</f>
        <v>Lucro/Prejuízos acumulados</v>
      </c>
      <c r="B55" s="147">
        <v>0</v>
      </c>
      <c r="C55" s="13">
        <v>0</v>
      </c>
      <c r="D55" s="13">
        <v>0</v>
      </c>
      <c r="E55" s="14">
        <v>0</v>
      </c>
      <c r="F55" s="48"/>
      <c r="G55" s="13"/>
      <c r="H55" s="13"/>
      <c r="I55" s="14"/>
      <c r="J55" s="48"/>
      <c r="K55" s="13"/>
      <c r="L55" s="13">
        <v>61092</v>
      </c>
      <c r="M55" s="14">
        <v>0</v>
      </c>
      <c r="N55" s="48">
        <v>40656</v>
      </c>
      <c r="O55" s="13">
        <v>0</v>
      </c>
      <c r="P55" s="13">
        <v>0</v>
      </c>
      <c r="Q55" s="14">
        <v>0</v>
      </c>
      <c r="R55" s="48">
        <v>0</v>
      </c>
      <c r="S55" s="13">
        <v>0</v>
      </c>
      <c r="T55" s="13">
        <v>0</v>
      </c>
      <c r="U55" s="14" t="s">
        <v>54</v>
      </c>
      <c r="V55" s="48">
        <v>0</v>
      </c>
      <c r="W55" s="13">
        <v>0</v>
      </c>
      <c r="X55" s="13">
        <v>0</v>
      </c>
    </row>
    <row r="56" spans="1:24">
      <c r="A56" s="11" t="str">
        <f>IF(Menu!$D$18="Português",Apoio!D57,Apoio!E57)</f>
        <v>Outros Resultados Abrangentes</v>
      </c>
      <c r="B56" s="147">
        <v>-34023</v>
      </c>
      <c r="C56" s="13">
        <v>-34023</v>
      </c>
      <c r="D56" s="13">
        <v>-34024</v>
      </c>
      <c r="E56" s="14">
        <v>-41140</v>
      </c>
      <c r="F56" s="48">
        <v>-41140</v>
      </c>
      <c r="G56" s="13">
        <v>-41140</v>
      </c>
      <c r="H56" s="13">
        <v>-41140</v>
      </c>
      <c r="I56" s="14">
        <v>-28655</v>
      </c>
      <c r="J56" s="48">
        <v>-28655</v>
      </c>
      <c r="K56" s="13">
        <v>-28655</v>
      </c>
      <c r="L56" s="13">
        <v>-28655</v>
      </c>
      <c r="M56" s="14">
        <v>-20449</v>
      </c>
      <c r="N56" s="48">
        <v>-20449</v>
      </c>
      <c r="O56" s="13">
        <v>-20449</v>
      </c>
      <c r="P56" s="13">
        <v>-20449</v>
      </c>
      <c r="Q56" s="14">
        <v>-7487</v>
      </c>
      <c r="R56" s="48">
        <v>-7487</v>
      </c>
      <c r="S56" s="13">
        <v>-7487</v>
      </c>
      <c r="T56" s="13">
        <v>-7487</v>
      </c>
      <c r="U56" s="14">
        <v>-9937</v>
      </c>
      <c r="V56" s="48">
        <v>-9937</v>
      </c>
      <c r="W56" s="13">
        <v>-9937</v>
      </c>
      <c r="X56" s="13">
        <v>-9937</v>
      </c>
    </row>
    <row r="57" spans="1:24">
      <c r="A57" s="11" t="str">
        <f>IF(Menu!$D$18="Português",Apoio!D58,Apoio!E58)</f>
        <v>Prejuízos acumulados</v>
      </c>
      <c r="B57" s="147">
        <v>-332734</v>
      </c>
      <c r="C57" s="13">
        <v>-362268</v>
      </c>
      <c r="D57" s="13">
        <v>-326602</v>
      </c>
      <c r="E57" s="14">
        <v>-319912</v>
      </c>
      <c r="F57" s="48">
        <v>-334759</v>
      </c>
      <c r="G57" s="13">
        <v>-322128</v>
      </c>
      <c r="H57" s="13">
        <v>-282197</v>
      </c>
      <c r="I57" s="14">
        <v>-162409</v>
      </c>
      <c r="J57" s="48">
        <v>-105676</v>
      </c>
      <c r="K57" s="13">
        <v>-57455</v>
      </c>
      <c r="L57" s="13" t="s">
        <v>54</v>
      </c>
      <c r="M57" s="14">
        <v>0</v>
      </c>
      <c r="N57" s="48">
        <v>0</v>
      </c>
      <c r="O57" s="13">
        <v>0</v>
      </c>
      <c r="P57" s="13">
        <v>0</v>
      </c>
      <c r="Q57" s="14">
        <v>0</v>
      </c>
      <c r="R57" s="48">
        <v>0</v>
      </c>
      <c r="S57" s="13">
        <v>0</v>
      </c>
      <c r="T57" s="13">
        <v>0</v>
      </c>
      <c r="U57" s="14" t="s">
        <v>54</v>
      </c>
      <c r="V57" s="48">
        <v>0</v>
      </c>
      <c r="W57" s="13">
        <v>0</v>
      </c>
      <c r="X57" s="13">
        <v>0</v>
      </c>
    </row>
    <row r="58" spans="1:24">
      <c r="A58" s="11" t="str">
        <f>IF(Menu!$D$18="Português",Apoio!D60,Apoio!E60)</f>
        <v>Reservas de lucros</v>
      </c>
      <c r="B58" s="12">
        <v>0</v>
      </c>
      <c r="C58" s="13">
        <v>0</v>
      </c>
      <c r="D58" s="13">
        <v>0</v>
      </c>
      <c r="E58" s="14">
        <v>0</v>
      </c>
      <c r="F58" s="41">
        <v>0</v>
      </c>
      <c r="G58" s="13">
        <v>19437</v>
      </c>
      <c r="H58" s="13">
        <v>19353</v>
      </c>
      <c r="I58" s="14">
        <v>20601</v>
      </c>
      <c r="J58" s="41">
        <v>22299</v>
      </c>
      <c r="K58" s="13">
        <v>33723</v>
      </c>
      <c r="L58" s="13">
        <v>70625</v>
      </c>
      <c r="M58" s="14">
        <v>145786</v>
      </c>
      <c r="N58" s="41">
        <v>147387</v>
      </c>
      <c r="O58" s="13"/>
      <c r="P58" s="13">
        <v>163341</v>
      </c>
      <c r="Q58" s="14">
        <v>164674</v>
      </c>
      <c r="R58" s="41" t="s">
        <v>138</v>
      </c>
      <c r="S58" s="13">
        <v>180025</v>
      </c>
      <c r="T58" s="13">
        <v>195265</v>
      </c>
      <c r="U58" s="14">
        <v>256661</v>
      </c>
      <c r="V58" s="41">
        <v>255413</v>
      </c>
      <c r="W58" s="13">
        <v>262804</v>
      </c>
      <c r="X58" s="13">
        <v>277061</v>
      </c>
    </row>
    <row r="59" spans="1:24">
      <c r="A59" s="29" t="str">
        <f>IF(Menu!$D$18="Português",Apoio!D61,Apoio!E61)</f>
        <v>Patrimônio líquido atribuível a acionistas não minoritários</v>
      </c>
      <c r="B59" s="132">
        <v>-13243</v>
      </c>
      <c r="C59" s="8">
        <v>-42777</v>
      </c>
      <c r="D59" s="8">
        <v>-2396</v>
      </c>
      <c r="E59" s="9">
        <v>-2822</v>
      </c>
      <c r="F59" s="18">
        <v>-17668</v>
      </c>
      <c r="G59" s="8">
        <v>41532</v>
      </c>
      <c r="H59" s="8">
        <v>81379</v>
      </c>
      <c r="I59" s="9">
        <v>214900</v>
      </c>
      <c r="J59" s="18">
        <v>273331</v>
      </c>
      <c r="K59" s="8">
        <v>443100</v>
      </c>
      <c r="L59" s="8">
        <v>541144</v>
      </c>
      <c r="M59" s="9">
        <v>563355</v>
      </c>
      <c r="N59" s="18">
        <v>605652</v>
      </c>
      <c r="O59" s="8">
        <v>627598</v>
      </c>
      <c r="P59" s="8">
        <v>659987</v>
      </c>
      <c r="Q59" s="9">
        <v>676298</v>
      </c>
      <c r="R59" s="18">
        <v>692822</v>
      </c>
      <c r="S59" s="8">
        <v>694225</v>
      </c>
      <c r="T59" s="8">
        <v>710504</v>
      </c>
      <c r="U59" s="9">
        <v>769806</v>
      </c>
      <c r="V59" s="18">
        <v>770048</v>
      </c>
      <c r="W59" s="8">
        <v>778937</v>
      </c>
      <c r="X59" s="8">
        <v>794347</v>
      </c>
    </row>
    <row r="60" spans="1:24">
      <c r="A60" s="11" t="str">
        <f>IF(Menu!$D$18="Português",Apoio!D62,Apoio!E62)</f>
        <v>Participação de acionistas minoritários</v>
      </c>
      <c r="B60" s="12">
        <v>26</v>
      </c>
      <c r="C60" s="13">
        <v>28</v>
      </c>
      <c r="D60" s="13">
        <v>93</v>
      </c>
      <c r="E60" s="14">
        <v>44</v>
      </c>
      <c r="F60" s="41">
        <v>36</v>
      </c>
      <c r="G60" s="13">
        <v>-39</v>
      </c>
      <c r="H60" s="13">
        <v>70</v>
      </c>
      <c r="I60" s="14">
        <v>111</v>
      </c>
      <c r="J60" s="41">
        <v>114</v>
      </c>
      <c r="K60" s="13">
        <v>124</v>
      </c>
      <c r="L60" s="13">
        <v>144</v>
      </c>
      <c r="M60" s="14">
        <v>110</v>
      </c>
      <c r="N60" s="41">
        <v>150</v>
      </c>
      <c r="O60" s="13">
        <v>190</v>
      </c>
      <c r="P60" s="13">
        <v>205</v>
      </c>
      <c r="Q60" s="14">
        <v>110</v>
      </c>
      <c r="R60" s="41">
        <v>126</v>
      </c>
      <c r="S60" s="13">
        <v>142</v>
      </c>
      <c r="T60" s="13">
        <v>83</v>
      </c>
      <c r="U60" s="14">
        <v>109</v>
      </c>
      <c r="V60" s="41">
        <v>164</v>
      </c>
      <c r="W60" s="13">
        <v>165</v>
      </c>
      <c r="X60" s="13">
        <v>166</v>
      </c>
    </row>
    <row r="61" spans="1:24">
      <c r="A61" s="29" t="str">
        <f>IF(Menu!$D$18="Português",Apoio!D63,Apoio!E63)</f>
        <v>Passivo e patrimônio Líquido</v>
      </c>
      <c r="B61" s="132">
        <v>562553</v>
      </c>
      <c r="C61" s="8">
        <v>525272</v>
      </c>
      <c r="D61" s="8">
        <v>570384</v>
      </c>
      <c r="E61" s="9">
        <v>545587</v>
      </c>
      <c r="F61" s="18">
        <v>552460</v>
      </c>
      <c r="G61" s="8">
        <v>589770</v>
      </c>
      <c r="H61" s="8">
        <v>623654</v>
      </c>
      <c r="I61" s="9">
        <v>745268</v>
      </c>
      <c r="J61" s="18">
        <v>833954</v>
      </c>
      <c r="K61" s="8">
        <v>894161</v>
      </c>
      <c r="L61" s="8">
        <v>976837</v>
      </c>
      <c r="M61" s="9">
        <v>1011931</v>
      </c>
      <c r="N61" s="18">
        <v>1066419</v>
      </c>
      <c r="O61" s="8">
        <v>1063781</v>
      </c>
      <c r="P61" s="8">
        <v>1187017</v>
      </c>
      <c r="Q61" s="9">
        <v>1222267</v>
      </c>
      <c r="R61" s="18">
        <v>1168475</v>
      </c>
      <c r="S61" s="8">
        <v>1214762</v>
      </c>
      <c r="T61" s="8">
        <v>1248870</v>
      </c>
      <c r="U61" s="9">
        <v>1300366</v>
      </c>
      <c r="V61" s="18">
        <v>1282895</v>
      </c>
      <c r="W61" s="8">
        <v>1316979</v>
      </c>
      <c r="X61" s="8">
        <v>1306928</v>
      </c>
    </row>
  </sheetData>
  <pageMargins left="0.511811024" right="0.511811024" top="0.78740157499999996" bottom="0.78740157499999996" header="0.31496062000000002" footer="0.31496062000000002"/>
  <pageSetup paperSize="9" scale="73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1"/>
  <sheetViews>
    <sheetView showGridLines="0" zoomScaleNormal="100" workbookViewId="0">
      <pane xSplit="1" ySplit="4" topLeftCell="K5" activePane="bottomRight" state="frozen"/>
      <selection pane="topRight" activeCell="C1" sqref="C1"/>
      <selection pane="bottomLeft" activeCell="A4" sqref="A4"/>
      <selection pane="bottomRight" activeCell="AE27" sqref="AE27"/>
    </sheetView>
  </sheetViews>
  <sheetFormatPr defaultRowHeight="12.75"/>
  <cols>
    <col min="1" max="1" width="54" style="55" customWidth="1"/>
    <col min="2" max="4" width="9" style="55" customWidth="1"/>
    <col min="5" max="5" width="8.7109375" style="55" customWidth="1"/>
    <col min="6" max="6" width="9.140625" style="55" customWidth="1"/>
    <col min="7" max="9" width="9" style="55" customWidth="1"/>
    <col min="10" max="10" width="8.42578125" style="55" customWidth="1"/>
    <col min="11" max="22" width="9" style="55" customWidth="1"/>
    <col min="23" max="24" width="7.5703125" style="55" customWidth="1"/>
    <col min="25" max="25" width="9.140625" style="55"/>
    <col min="26" max="26" width="0" style="55" hidden="1" customWidth="1"/>
    <col min="27" max="32" width="7.5703125" style="55" customWidth="1"/>
    <col min="33" max="16384" width="9.140625" style="55"/>
  </cols>
  <sheetData>
    <row r="1" spans="1:38" ht="19.5" customHeight="1"/>
    <row r="2" spans="1:38" ht="24" customHeight="1"/>
    <row r="3" spans="1:38" ht="21" customHeight="1">
      <c r="B3" s="39" t="s">
        <v>34</v>
      </c>
      <c r="C3" s="39" t="s">
        <v>35</v>
      </c>
      <c r="D3" s="39" t="s">
        <v>36</v>
      </c>
      <c r="E3" s="39" t="s">
        <v>37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38</v>
      </c>
      <c r="K3" s="39" t="s">
        <v>39</v>
      </c>
      <c r="L3" s="39" t="s">
        <v>40</v>
      </c>
      <c r="M3" s="39" t="s">
        <v>41</v>
      </c>
      <c r="N3" s="39" t="s">
        <v>42</v>
      </c>
      <c r="O3" s="39" t="s">
        <v>8</v>
      </c>
      <c r="P3" s="39" t="s">
        <v>9</v>
      </c>
      <c r="Q3" s="39" t="s">
        <v>10</v>
      </c>
      <c r="R3" s="39" t="s">
        <v>11</v>
      </c>
      <c r="S3" s="39" t="s">
        <v>12</v>
      </c>
      <c r="T3" s="39" t="s">
        <v>13</v>
      </c>
      <c r="U3" s="39" t="s">
        <v>14</v>
      </c>
      <c r="V3" s="39" t="s">
        <v>15</v>
      </c>
      <c r="W3" s="39" t="s">
        <v>43</v>
      </c>
      <c r="X3" s="45" t="s">
        <v>260</v>
      </c>
    </row>
    <row r="4" spans="1:38" s="159" customFormat="1" ht="15.75">
      <c r="A4" s="94" t="str">
        <f>IF(Menu!$D$18="Português",Apoio!G1,Apoio!H1)</f>
        <v>Desempenho Operacional</v>
      </c>
      <c r="B4" s="146" t="str">
        <f>IF(Menu!$D18="Português",'Desempenho Operacional'!B$3,LEFT(B3,1)&amp;"Q"&amp;RIGHT(B3,LEN(B3)-FIND("T",B3)))</f>
        <v>1T19</v>
      </c>
      <c r="C4" s="96" t="str">
        <f>IF(Menu!$D18="Português",'Desempenho Operacional'!C$3,LEFT(C3,1)&amp;"Q"&amp;RIGHT(C3,LEN(C3)-FIND("T",C3)))</f>
        <v>2T19</v>
      </c>
      <c r="D4" s="96" t="str">
        <f>IF(Menu!$D18="Português",'Desempenho Operacional'!D$3,LEFT(D3,1)&amp;"Q"&amp;RIGHT(D3,LEN(D3)-FIND("T",D3)))</f>
        <v>3T19</v>
      </c>
      <c r="E4" s="98" t="str">
        <f>IF(Menu!$D18="Português",'Desempenho Operacional'!E$3,LEFT(E3,1)&amp;"Q"&amp;RIGHT(E3,LEN(E3)-FIND("T",E3)))</f>
        <v>4T19</v>
      </c>
      <c r="F4" s="158" t="str">
        <f>IF(Menu!$D18="Português",'Desempenho Operacional'!F$3,LEFT(F3,1)&amp;"Q"&amp;RIGHT(F3,LEN(F3)-FIND("T",F3)))</f>
        <v>1T20</v>
      </c>
      <c r="G4" s="96" t="str">
        <f>IF(Menu!$D18="Português",'Desempenho Operacional'!G$3,LEFT(G3,1)&amp;"Q"&amp;RIGHT(G3,LEN(G3)-FIND("T",G3)))</f>
        <v>2T20</v>
      </c>
      <c r="H4" s="96" t="str">
        <f>IF(Menu!$D18="Português",'Desempenho Operacional'!H$3,LEFT(H3,1)&amp;"Q"&amp;RIGHT(H3,LEN(H3)-FIND("T",H3)))</f>
        <v>3T20</v>
      </c>
      <c r="I4" s="95" t="str">
        <f>IF(Menu!$D18="Português",'Desempenho Operacional'!I$3,LEFT(I3,1)&amp;"Q"&amp;RIGHT(I3,LEN(I3)-FIND("T",I3)))</f>
        <v>4T20</v>
      </c>
      <c r="J4" s="146" t="str">
        <f>IF(Menu!$D18="Português",'Desempenho Operacional'!J$3,LEFT(J3,1)&amp;"Q"&amp;RIGHT(J3,LEN(J3)-FIND("T",J3)))</f>
        <v>1T21</v>
      </c>
      <c r="K4" s="96" t="str">
        <f>IF(Menu!$D18="Português",'Desempenho Operacional'!K$3,LEFT(K3,1)&amp;"Q"&amp;RIGHT(K3,LEN(K3)-FIND("T",K3)))</f>
        <v>2T21</v>
      </c>
      <c r="L4" s="96" t="str">
        <f>IF(Menu!$D18="Português",'Desempenho Operacional'!L$3,LEFT(L3,1)&amp;"Q"&amp;RIGHT(L3,LEN(L3)-FIND("T",L3)))</f>
        <v>3T21</v>
      </c>
      <c r="M4" s="98" t="str">
        <f>IF(Menu!$D18="Português",'Desempenho Operacional'!M$3,LEFT(M3,1)&amp;"Q"&amp;RIGHT(M3,LEN(M3)-FIND("T",M3)))</f>
        <v>4T21</v>
      </c>
      <c r="N4" s="146" t="str">
        <f>IF(Menu!$D18="Português",'Desempenho Operacional'!N$3,LEFT(N3,1)&amp;"Q"&amp;RIGHT(N3,LEN(N3)-FIND("T",N3)))</f>
        <v>1T22</v>
      </c>
      <c r="O4" s="96" t="str">
        <f>IF(Menu!$D18="Português",'Desempenho Operacional'!O$3,LEFT(O3,1)&amp;"Q"&amp;RIGHT(O3,LEN(O3)-FIND("T",O3)))</f>
        <v>2T22</v>
      </c>
      <c r="P4" s="96" t="str">
        <f>IF(Menu!$D18="Português",'Desempenho Operacional'!P$3,LEFT(P3,1)&amp;"Q"&amp;RIGHT(P3,LEN(P3)-FIND("T",P3)))</f>
        <v>3T22</v>
      </c>
      <c r="Q4" s="98" t="str">
        <f>IF(Menu!$D18="Português",'Desempenho Operacional'!Q$3,LEFT(Q3,1)&amp;"Q"&amp;RIGHT(Q3,LEN(Q3)-FIND("T",Q3)))</f>
        <v>4T22</v>
      </c>
      <c r="R4" s="146" t="str">
        <f>IF(Menu!$D18="Português",'Desempenho Operacional'!R$3,LEFT(R3,1)&amp;"Q"&amp;RIGHT(R3,LEN(R3)-FIND("T",R3)))</f>
        <v>1T23</v>
      </c>
      <c r="S4" s="96" t="str">
        <f>IF(Menu!$D18="Português",'Desempenho Operacional'!S$3,LEFT(S3,1)&amp;"Q"&amp;RIGHT(S3,LEN(S3)-FIND("T",S3)))</f>
        <v>2T23</v>
      </c>
      <c r="T4" s="96" t="str">
        <f>IF(Menu!$D18="Português",'Desempenho Operacional'!T$3,LEFT(T3,1)&amp;"Q"&amp;RIGHT(T3,LEN(T3)-FIND("T",T3)))</f>
        <v>3T23</v>
      </c>
      <c r="U4" s="98" t="str">
        <f>IF(Menu!$D18="Português",'Desempenho Operacional'!U$3,LEFT(U3,1)&amp;"Q"&amp;RIGHT(U3,LEN(U3)-FIND("T",U3)))</f>
        <v>4T23</v>
      </c>
      <c r="V4" s="146" t="str">
        <f>IF(Menu!$D18="Português",'Desempenho Operacional'!V$3,LEFT(V3,1)&amp;"Q"&amp;RIGHT(V3,LEN(V3)-FIND("T",V3)))</f>
        <v>1T24</v>
      </c>
      <c r="W4" s="98" t="str">
        <f>IF(Menu!$D18="Português",'Desempenho Operacional'!W$3,LEFT(W3,1)&amp;"Q"&amp;RIGHT(W3,LEN(W3)-FIND("T",W3)))</f>
        <v>2T24</v>
      </c>
      <c r="X4" s="98" t="str">
        <f>IF(Menu!$D18="Português",'Desempenho Operacional'!X$3,LEFT(X3,1)&amp;"Q"&amp;RIGHT(X3,LEN(X3)-FIND("T",X3)))</f>
        <v>3T24</v>
      </c>
      <c r="AA4" s="160">
        <v>2019</v>
      </c>
      <c r="AB4" s="160">
        <v>2020</v>
      </c>
      <c r="AC4" s="160">
        <v>2021</v>
      </c>
      <c r="AD4" s="160">
        <v>2022</v>
      </c>
      <c r="AE4" s="160">
        <v>2023</v>
      </c>
      <c r="AF4" s="160" t="s">
        <v>262</v>
      </c>
    </row>
    <row r="5" spans="1:38" s="58" customFormat="1" ht="5.25" customHeight="1">
      <c r="A5" s="57"/>
      <c r="B5" s="32"/>
      <c r="C5" s="33"/>
      <c r="D5" s="33"/>
      <c r="E5" s="34"/>
      <c r="F5" s="35"/>
      <c r="G5" s="33"/>
      <c r="H5" s="33"/>
      <c r="I5" s="150"/>
      <c r="J5" s="32"/>
      <c r="K5" s="33"/>
      <c r="L5" s="33"/>
      <c r="M5" s="34"/>
      <c r="N5" s="32"/>
      <c r="O5" s="33"/>
      <c r="P5" s="33"/>
      <c r="Q5" s="34"/>
      <c r="R5" s="32"/>
      <c r="S5" s="33"/>
      <c r="T5" s="33"/>
      <c r="U5" s="34"/>
      <c r="V5" s="32"/>
      <c r="W5" s="34"/>
      <c r="X5" s="33"/>
    </row>
    <row r="6" spans="1:38" s="159" customFormat="1" ht="15.75">
      <c r="A6" s="94" t="str">
        <f>IF(Menu!$D$18="Português",Apoio!G3,Apoio!H3)</f>
        <v>Segmento de Fibrocimento</v>
      </c>
      <c r="B6" s="146"/>
      <c r="C6" s="96"/>
      <c r="D6" s="96"/>
      <c r="E6" s="98"/>
      <c r="F6" s="158"/>
      <c r="G6" s="96"/>
      <c r="H6" s="96"/>
      <c r="I6" s="95"/>
      <c r="J6" s="146"/>
      <c r="K6" s="96"/>
      <c r="L6" s="96"/>
      <c r="M6" s="98"/>
      <c r="N6" s="146"/>
      <c r="O6" s="96"/>
      <c r="P6" s="96"/>
      <c r="Q6" s="98"/>
      <c r="R6" s="146"/>
      <c r="S6" s="96"/>
      <c r="T6" s="96"/>
      <c r="U6" s="98"/>
      <c r="V6" s="146"/>
      <c r="W6" s="98"/>
      <c r="X6" s="96"/>
      <c r="AA6" s="165" t="s">
        <v>143</v>
      </c>
      <c r="AB6" s="165"/>
      <c r="AC6" s="165"/>
      <c r="AD6" s="165"/>
      <c r="AE6" s="165"/>
      <c r="AF6" s="165"/>
    </row>
    <row r="7" spans="1:38" ht="16.5" customHeight="1">
      <c r="A7" s="149" t="str">
        <f>IF(Menu!$D$18="Português",Apoio!G4,Apoio!H4)</f>
        <v>Volume de vendas de Telhas de Fibrocimento (t)</v>
      </c>
      <c r="B7" s="112">
        <v>121114</v>
      </c>
      <c r="C7" s="112">
        <v>150220</v>
      </c>
      <c r="D7" s="112">
        <v>141447</v>
      </c>
      <c r="E7" s="113">
        <v>142604</v>
      </c>
      <c r="F7" s="152">
        <v>124474</v>
      </c>
      <c r="G7" s="13">
        <v>141550</v>
      </c>
      <c r="H7" s="13">
        <v>185245</v>
      </c>
      <c r="I7" s="41">
        <v>173859</v>
      </c>
      <c r="J7" s="12">
        <v>190855</v>
      </c>
      <c r="K7" s="13">
        <v>178959</v>
      </c>
      <c r="L7" s="13">
        <v>174546</v>
      </c>
      <c r="M7" s="59">
        <v>166480</v>
      </c>
      <c r="N7" s="12">
        <v>157729</v>
      </c>
      <c r="O7" s="13">
        <v>145982</v>
      </c>
      <c r="P7" s="13">
        <v>169649</v>
      </c>
      <c r="Q7" s="59">
        <v>174000</v>
      </c>
      <c r="R7" s="12">
        <v>164391</v>
      </c>
      <c r="S7" s="13">
        <v>139597</v>
      </c>
      <c r="T7" s="13">
        <v>156404</v>
      </c>
      <c r="U7" s="59">
        <v>157384</v>
      </c>
      <c r="V7" s="12">
        <v>145723</v>
      </c>
      <c r="W7" s="14">
        <v>153417</v>
      </c>
      <c r="X7" s="13">
        <v>178039</v>
      </c>
      <c r="Y7" s="153"/>
      <c r="Z7" s="58"/>
      <c r="AA7" s="13">
        <f>SUM(B7:E7)</f>
        <v>555385</v>
      </c>
      <c r="AB7" s="13">
        <f>SUM(F7:I7)</f>
        <v>625128</v>
      </c>
      <c r="AC7" s="13">
        <f>SUM(J7:M7)</f>
        <v>710840</v>
      </c>
      <c r="AD7" s="13">
        <f>SUM(N7:Q7)</f>
        <v>647360</v>
      </c>
      <c r="AE7" s="13">
        <f>SUM(R7:U7)</f>
        <v>617776</v>
      </c>
      <c r="AF7" s="13">
        <f>SUM(V7:X7)</f>
        <v>477179</v>
      </c>
      <c r="AG7" s="58"/>
      <c r="AH7" s="58"/>
      <c r="AI7" s="58"/>
      <c r="AJ7" s="58"/>
      <c r="AK7" s="58"/>
      <c r="AL7" s="58"/>
    </row>
    <row r="8" spans="1:38">
      <c r="A8" s="149" t="str">
        <f>IF(Menu!$D$18="Português",Apoio!G5,Apoio!H5)</f>
        <v>Volume de vendas de Sistemas Construtivos (t)</v>
      </c>
      <c r="B8" s="112">
        <v>1640.654</v>
      </c>
      <c r="C8" s="112">
        <v>1879.9839999999999</v>
      </c>
      <c r="D8" s="112">
        <v>2969</v>
      </c>
      <c r="E8" s="113">
        <v>2969</v>
      </c>
      <c r="F8" s="152">
        <v>2270</v>
      </c>
      <c r="G8" s="13">
        <v>1612</v>
      </c>
      <c r="H8" s="13">
        <v>1998.7107000000001</v>
      </c>
      <c r="I8" s="41">
        <v>2444</v>
      </c>
      <c r="J8" s="12">
        <v>2859</v>
      </c>
      <c r="K8" s="13">
        <v>3382</v>
      </c>
      <c r="L8" s="13">
        <v>4700</v>
      </c>
      <c r="M8" s="59">
        <v>4825</v>
      </c>
      <c r="N8" s="12">
        <v>4553</v>
      </c>
      <c r="O8" s="13">
        <v>4105</v>
      </c>
      <c r="P8" s="13">
        <v>4638</v>
      </c>
      <c r="Q8" s="59">
        <v>3708</v>
      </c>
      <c r="R8" s="12">
        <v>4073</v>
      </c>
      <c r="S8" s="13">
        <v>4639</v>
      </c>
      <c r="T8" s="13">
        <v>6346</v>
      </c>
      <c r="U8" s="59">
        <v>4938</v>
      </c>
      <c r="V8" s="12">
        <v>5191</v>
      </c>
      <c r="W8" s="14">
        <v>6054</v>
      </c>
      <c r="X8" s="13">
        <v>6735</v>
      </c>
      <c r="Y8" s="58"/>
      <c r="Z8" s="58"/>
      <c r="AA8" s="13">
        <f t="shared" ref="AA8:AA10" si="0">SUM(B8:E8)</f>
        <v>9458.637999999999</v>
      </c>
      <c r="AB8" s="13">
        <f t="shared" ref="AB8:AB10" si="1">SUM(F8:I8)</f>
        <v>8324.7106999999996</v>
      </c>
      <c r="AC8" s="13">
        <f t="shared" ref="AC8:AC10" si="2">SUM(J8:M8)</f>
        <v>15766</v>
      </c>
      <c r="AD8" s="13">
        <f t="shared" ref="AD8:AD10" si="3">SUM(N8:Q8)</f>
        <v>17004</v>
      </c>
      <c r="AE8" s="13">
        <f t="shared" ref="AE8:AE10" si="4">SUM(R8:U8)</f>
        <v>19996</v>
      </c>
      <c r="AF8" s="13">
        <f t="shared" ref="AF8:AF10" si="5">SUM(V8:X8)</f>
        <v>17980</v>
      </c>
      <c r="AG8" s="58"/>
      <c r="AH8" s="58"/>
      <c r="AI8" s="58"/>
      <c r="AJ8" s="58"/>
      <c r="AK8" s="58"/>
      <c r="AL8" s="58"/>
    </row>
    <row r="9" spans="1:38">
      <c r="A9" s="149" t="str">
        <f>IF(Menu!$D$18="Português",Apoio!G6,Apoio!H6)</f>
        <v>Receita líquida - R$ mil</v>
      </c>
      <c r="B9" s="12">
        <v>101216</v>
      </c>
      <c r="C9" s="13">
        <f>213290-B9</f>
        <v>112074</v>
      </c>
      <c r="D9" s="13">
        <f>318396 -SUM(B9:C9)</f>
        <v>105106</v>
      </c>
      <c r="E9" s="14">
        <f>524059-SUM(B9:D9)</f>
        <v>205663</v>
      </c>
      <c r="F9" s="17">
        <v>111178</v>
      </c>
      <c r="G9" s="13">
        <v>102776</v>
      </c>
      <c r="H9" s="13">
        <v>152795</v>
      </c>
      <c r="I9" s="41">
        <v>171468</v>
      </c>
      <c r="J9" s="12">
        <v>203258</v>
      </c>
      <c r="K9" s="13">
        <v>206447</v>
      </c>
      <c r="L9" s="13">
        <v>214127</v>
      </c>
      <c r="M9" s="59">
        <v>213217</v>
      </c>
      <c r="N9" s="12">
        <v>188298</v>
      </c>
      <c r="O9" s="13">
        <v>181823</v>
      </c>
      <c r="P9" s="13">
        <v>207762</v>
      </c>
      <c r="Q9" s="59">
        <v>203257</v>
      </c>
      <c r="R9" s="12">
        <v>199360</v>
      </c>
      <c r="S9" s="13">
        <v>170753</v>
      </c>
      <c r="T9" s="13">
        <v>188994</v>
      </c>
      <c r="U9" s="59">
        <v>184355</v>
      </c>
      <c r="V9" s="12">
        <v>184591</v>
      </c>
      <c r="W9" s="14">
        <v>180189</v>
      </c>
      <c r="X9" s="13">
        <v>207487</v>
      </c>
      <c r="Y9" s="58"/>
      <c r="Z9" s="58"/>
      <c r="AA9" s="13">
        <f t="shared" si="0"/>
        <v>524059</v>
      </c>
      <c r="AB9" s="13">
        <f t="shared" si="1"/>
        <v>538217</v>
      </c>
      <c r="AC9" s="13">
        <f t="shared" si="2"/>
        <v>837049</v>
      </c>
      <c r="AD9" s="13">
        <f t="shared" si="3"/>
        <v>781140</v>
      </c>
      <c r="AE9" s="13">
        <f t="shared" si="4"/>
        <v>743462</v>
      </c>
      <c r="AF9" s="13">
        <f t="shared" si="5"/>
        <v>572267</v>
      </c>
      <c r="AG9" s="58"/>
      <c r="AH9" s="58"/>
      <c r="AI9" s="58"/>
      <c r="AJ9" s="58"/>
      <c r="AK9" s="58"/>
      <c r="AL9" s="58"/>
    </row>
    <row r="10" spans="1:38">
      <c r="A10" s="149" t="str">
        <f>IF(Menu!$D$18="Português",Apoio!G7,Apoio!H7)</f>
        <v>Lucro bruto - R$ mil</v>
      </c>
      <c r="B10" s="12">
        <v>10881</v>
      </c>
      <c r="C10" s="13">
        <f>22578-B10</f>
        <v>11697</v>
      </c>
      <c r="D10" s="13">
        <f>39058-SUM(B10:C10)</f>
        <v>16480</v>
      </c>
      <c r="E10" s="14">
        <f>88327-SUM(B10:D10)</f>
        <v>49269</v>
      </c>
      <c r="F10" s="17">
        <v>17834</v>
      </c>
      <c r="G10" s="13">
        <v>13684</v>
      </c>
      <c r="H10" s="13">
        <v>48243</v>
      </c>
      <c r="I10" s="15">
        <v>65565</v>
      </c>
      <c r="J10" s="12">
        <v>79737</v>
      </c>
      <c r="K10" s="13">
        <v>84046</v>
      </c>
      <c r="L10" s="13">
        <v>83919</v>
      </c>
      <c r="M10" s="59">
        <v>78397</v>
      </c>
      <c r="N10" s="12">
        <v>61209</v>
      </c>
      <c r="O10" s="13">
        <v>52127</v>
      </c>
      <c r="P10" s="13">
        <v>44971</v>
      </c>
      <c r="Q10" s="59">
        <v>40517</v>
      </c>
      <c r="R10" s="12">
        <v>46857</v>
      </c>
      <c r="S10" s="13">
        <v>34086</v>
      </c>
      <c r="T10" s="13">
        <v>32581</v>
      </c>
      <c r="U10" s="59">
        <v>25601</v>
      </c>
      <c r="V10" s="12">
        <v>28345</v>
      </c>
      <c r="W10" s="14">
        <v>22165</v>
      </c>
      <c r="X10" s="13">
        <v>28773</v>
      </c>
      <c r="Y10" s="154"/>
      <c r="Z10" s="58"/>
      <c r="AA10" s="13">
        <f t="shared" si="0"/>
        <v>88327</v>
      </c>
      <c r="AB10" s="13">
        <f t="shared" si="1"/>
        <v>145326</v>
      </c>
      <c r="AC10" s="13">
        <f t="shared" si="2"/>
        <v>326099</v>
      </c>
      <c r="AD10" s="13">
        <f t="shared" si="3"/>
        <v>198824</v>
      </c>
      <c r="AE10" s="13">
        <f t="shared" si="4"/>
        <v>139125</v>
      </c>
      <c r="AF10" s="13">
        <f t="shared" si="5"/>
        <v>79283</v>
      </c>
      <c r="AG10" s="58"/>
      <c r="AH10" s="58"/>
      <c r="AI10" s="58"/>
      <c r="AJ10" s="58"/>
      <c r="AK10" s="58"/>
      <c r="AL10" s="58"/>
    </row>
    <row r="11" spans="1:38">
      <c r="A11" s="149" t="str">
        <f>IF(Menu!$D$18="Português",Apoio!G8,Apoio!H8)</f>
        <v>Margem bruta - R$ mil</v>
      </c>
      <c r="B11" s="64">
        <f t="shared" ref="B11:J11" si="6">B10/B9</f>
        <v>0.10750276636104963</v>
      </c>
      <c r="C11" s="62">
        <f t="shared" si="6"/>
        <v>0.10436854221318058</v>
      </c>
      <c r="D11" s="62">
        <f t="shared" si="6"/>
        <v>0.1567940935817175</v>
      </c>
      <c r="E11" s="63">
        <f t="shared" si="6"/>
        <v>0.23956180742282276</v>
      </c>
      <c r="F11" s="67">
        <f t="shared" si="6"/>
        <v>0.16040943352102036</v>
      </c>
      <c r="G11" s="62">
        <f t="shared" si="6"/>
        <v>0.13314392465166966</v>
      </c>
      <c r="H11" s="62">
        <f t="shared" si="6"/>
        <v>0.31573677149121371</v>
      </c>
      <c r="I11" s="155">
        <f t="shared" si="6"/>
        <v>0.38237455385261387</v>
      </c>
      <c r="J11" s="64">
        <f t="shared" si="6"/>
        <v>0.39229452223282724</v>
      </c>
      <c r="K11" s="62">
        <v>0.41</v>
      </c>
      <c r="L11" s="62">
        <v>0.39</v>
      </c>
      <c r="M11" s="63">
        <v>0.37</v>
      </c>
      <c r="N11" s="64">
        <v>0.33</v>
      </c>
      <c r="O11" s="62">
        <v>0.28999999999999998</v>
      </c>
      <c r="P11" s="62">
        <v>0.22</v>
      </c>
      <c r="Q11" s="63">
        <v>0.2</v>
      </c>
      <c r="R11" s="64">
        <v>0.24</v>
      </c>
      <c r="S11" s="62">
        <v>0.2</v>
      </c>
      <c r="T11" s="62">
        <v>0.17</v>
      </c>
      <c r="U11" s="63">
        <v>0.14000000000000001</v>
      </c>
      <c r="V11" s="64">
        <v>0.15</v>
      </c>
      <c r="W11" s="65">
        <f>W10/W9</f>
        <v>0.12300972867378142</v>
      </c>
      <c r="X11" s="62">
        <v>0.14000000000000001</v>
      </c>
      <c r="Y11" s="58"/>
      <c r="Z11" s="58"/>
      <c r="AA11" s="156">
        <f>AA10/AA9</f>
        <v>0.16854399981681453</v>
      </c>
      <c r="AB11" s="156">
        <f t="shared" ref="AB11:AF11" si="7">AB10/AB9</f>
        <v>0.27001376768106544</v>
      </c>
      <c r="AC11" s="156">
        <f t="shared" si="7"/>
        <v>0.38958173296903764</v>
      </c>
      <c r="AD11" s="156">
        <f t="shared" si="7"/>
        <v>0.25453055790255269</v>
      </c>
      <c r="AE11" s="156">
        <f t="shared" si="7"/>
        <v>0.18713128579537353</v>
      </c>
      <c r="AF11" s="156">
        <f t="shared" si="7"/>
        <v>0.13854197428822559</v>
      </c>
      <c r="AG11" s="58"/>
      <c r="AH11" s="58"/>
      <c r="AI11" s="58"/>
      <c r="AJ11" s="58"/>
      <c r="AK11" s="58"/>
      <c r="AL11" s="58"/>
    </row>
    <row r="12" spans="1:38" s="159" customFormat="1" ht="15.75">
      <c r="A12" s="94" t="str">
        <f>IF(Menu!$D$18="Português",Apoio!G9,Apoio!H9)</f>
        <v>Segmento de Mineral Crisotila</v>
      </c>
      <c r="B12" s="146"/>
      <c r="C12" s="96"/>
      <c r="D12" s="96"/>
      <c r="E12" s="98"/>
      <c r="F12" s="158"/>
      <c r="G12" s="96"/>
      <c r="H12" s="96"/>
      <c r="I12" s="95"/>
      <c r="J12" s="146"/>
      <c r="K12" s="96"/>
      <c r="L12" s="96"/>
      <c r="M12" s="98"/>
      <c r="N12" s="146"/>
      <c r="O12" s="96"/>
      <c r="P12" s="96"/>
      <c r="Q12" s="98"/>
      <c r="R12" s="146"/>
      <c r="S12" s="96"/>
      <c r="T12" s="96"/>
      <c r="U12" s="98"/>
      <c r="V12" s="146"/>
      <c r="W12" s="98"/>
      <c r="X12" s="96"/>
    </row>
    <row r="13" spans="1:38" s="58" customFormat="1">
      <c r="A13" s="149" t="str">
        <f>IF(Menu!$D$18="Português",Apoio!G10,Apoio!H10)</f>
        <v>Volume de vendas Mineral Crisotila (t)</v>
      </c>
      <c r="B13" s="12">
        <v>15830</v>
      </c>
      <c r="C13" s="13">
        <v>0</v>
      </c>
      <c r="D13" s="13">
        <v>0</v>
      </c>
      <c r="E13" s="14">
        <v>0</v>
      </c>
      <c r="F13" s="17">
        <v>5714</v>
      </c>
      <c r="G13" s="17">
        <v>17977.5</v>
      </c>
      <c r="H13" s="13">
        <v>22039.51</v>
      </c>
      <c r="I13" s="15">
        <v>29278</v>
      </c>
      <c r="J13" s="12">
        <v>35061.614000000001</v>
      </c>
      <c r="K13" s="13">
        <v>49781</v>
      </c>
      <c r="L13" s="13">
        <v>36357</v>
      </c>
      <c r="M13" s="14">
        <v>37183</v>
      </c>
      <c r="N13" s="12">
        <v>40710</v>
      </c>
      <c r="O13" s="13">
        <v>54808</v>
      </c>
      <c r="P13" s="13">
        <v>49628</v>
      </c>
      <c r="Q13" s="14">
        <v>48914</v>
      </c>
      <c r="R13" s="12">
        <v>46385</v>
      </c>
      <c r="S13" s="13">
        <v>47510</v>
      </c>
      <c r="T13" s="13">
        <v>49095</v>
      </c>
      <c r="U13" s="15">
        <v>45823</v>
      </c>
      <c r="V13" s="12">
        <v>38568</v>
      </c>
      <c r="W13" s="59">
        <v>40909</v>
      </c>
      <c r="X13" s="13">
        <v>50321</v>
      </c>
      <c r="AA13" s="13">
        <f t="shared" ref="AA13" si="8">SUM(B13:E13)</f>
        <v>15830</v>
      </c>
      <c r="AB13" s="13">
        <f t="shared" ref="AB13" si="9">SUM(F13:I13)</f>
        <v>75009.009999999995</v>
      </c>
      <c r="AC13" s="13">
        <f t="shared" ref="AC13" si="10">SUM(J13:M13)</f>
        <v>158382.614</v>
      </c>
      <c r="AD13" s="13">
        <f t="shared" ref="AD13" si="11">SUM(N13:Q13)</f>
        <v>194060</v>
      </c>
      <c r="AE13" s="13">
        <f t="shared" ref="AE13" si="12">SUM(R13:U13)</f>
        <v>188813</v>
      </c>
      <c r="AF13" s="13">
        <f>SUM(V13:X13)</f>
        <v>129798</v>
      </c>
    </row>
    <row r="14" spans="1:38" s="58" customFormat="1">
      <c r="A14" s="149" t="str">
        <f>IF(Menu!$D$18="Português",Apoio!G11,Apoio!H11)</f>
        <v>Receita líquida - R$ mil</v>
      </c>
      <c r="B14" s="12">
        <v>21372</v>
      </c>
      <c r="C14" s="13">
        <v>0</v>
      </c>
      <c r="D14" s="13">
        <v>0</v>
      </c>
      <c r="E14" s="14">
        <v>0</v>
      </c>
      <c r="F14" s="17">
        <v>11041</v>
      </c>
      <c r="G14" s="17">
        <f>40711-F14</f>
        <v>29670</v>
      </c>
      <c r="H14" s="13">
        <f>80956-(F14+G14)</f>
        <v>40245</v>
      </c>
      <c r="I14" s="15">
        <f>133698-SUM(F14:H14)</f>
        <v>52742</v>
      </c>
      <c r="J14" s="16">
        <v>62986</v>
      </c>
      <c r="K14" s="13">
        <v>76780</v>
      </c>
      <c r="L14" s="13">
        <v>57656</v>
      </c>
      <c r="M14" s="14">
        <v>71316</v>
      </c>
      <c r="N14" s="12">
        <v>66973</v>
      </c>
      <c r="O14" s="13">
        <v>102574</v>
      </c>
      <c r="P14" s="13">
        <v>104882</v>
      </c>
      <c r="Q14" s="14">
        <v>98731</v>
      </c>
      <c r="R14" s="12">
        <v>91153</v>
      </c>
      <c r="S14" s="13">
        <v>82253</v>
      </c>
      <c r="T14" s="13">
        <v>96985</v>
      </c>
      <c r="U14" s="15">
        <v>93855</v>
      </c>
      <c r="V14" s="12">
        <v>78025</v>
      </c>
      <c r="W14" s="59">
        <v>90370</v>
      </c>
      <c r="X14" s="13">
        <v>119458</v>
      </c>
      <c r="AA14" s="13">
        <f t="shared" ref="AA14:AA15" si="13">SUM(B14:E14)</f>
        <v>21372</v>
      </c>
      <c r="AB14" s="13">
        <f t="shared" ref="AB14:AB15" si="14">SUM(F14:I14)</f>
        <v>133698</v>
      </c>
      <c r="AC14" s="13">
        <f t="shared" ref="AC14:AC15" si="15">SUM(J14:M14)</f>
        <v>268738</v>
      </c>
      <c r="AD14" s="13">
        <f t="shared" ref="AD14:AD15" si="16">SUM(N14:Q14)</f>
        <v>373160</v>
      </c>
      <c r="AE14" s="13">
        <f t="shared" ref="AE14:AE15" si="17">SUM(R14:U14)</f>
        <v>364246</v>
      </c>
      <c r="AF14" s="13">
        <f t="shared" ref="AF14:AF15" si="18">SUM(V14:X14)</f>
        <v>287853</v>
      </c>
    </row>
    <row r="15" spans="1:38" s="58" customFormat="1">
      <c r="A15" s="149" t="str">
        <f>IF(Menu!$D$18="Português",Apoio!G12,Apoio!H12)</f>
        <v>Lucro bruto - R$ mil</v>
      </c>
      <c r="B15" s="12">
        <v>8018</v>
      </c>
      <c r="C15" s="13">
        <v>0</v>
      </c>
      <c r="D15" s="13">
        <v>0</v>
      </c>
      <c r="E15" s="14">
        <v>0</v>
      </c>
      <c r="F15" s="41">
        <v>4734</v>
      </c>
      <c r="G15" s="13">
        <v>22163</v>
      </c>
      <c r="H15" s="13">
        <f>56832-(F15+G15)</f>
        <v>29935</v>
      </c>
      <c r="I15" s="15">
        <f>94566-SUM(F15:H15)</f>
        <v>37734</v>
      </c>
      <c r="J15" s="12">
        <v>40473</v>
      </c>
      <c r="K15" s="13">
        <v>47940</v>
      </c>
      <c r="L15" s="13">
        <v>33821</v>
      </c>
      <c r="M15" s="59">
        <v>43415</v>
      </c>
      <c r="N15" s="12">
        <v>24944</v>
      </c>
      <c r="O15" s="13">
        <v>54251</v>
      </c>
      <c r="P15" s="13">
        <v>55851</v>
      </c>
      <c r="Q15" s="59">
        <v>43345</v>
      </c>
      <c r="R15" s="12">
        <v>36876</v>
      </c>
      <c r="S15" s="13">
        <v>33756</v>
      </c>
      <c r="T15" s="13">
        <v>47717</v>
      </c>
      <c r="U15" s="41">
        <v>36869</v>
      </c>
      <c r="V15" s="12">
        <v>27318</v>
      </c>
      <c r="W15" s="59">
        <v>37587</v>
      </c>
      <c r="X15" s="13">
        <v>58213</v>
      </c>
      <c r="AA15" s="13">
        <f t="shared" si="13"/>
        <v>8018</v>
      </c>
      <c r="AB15" s="13">
        <f t="shared" si="14"/>
        <v>94566</v>
      </c>
      <c r="AC15" s="13">
        <f t="shared" si="15"/>
        <v>165649</v>
      </c>
      <c r="AD15" s="13">
        <f t="shared" si="16"/>
        <v>178391</v>
      </c>
      <c r="AE15" s="13">
        <f t="shared" si="17"/>
        <v>155218</v>
      </c>
      <c r="AF15" s="13">
        <f t="shared" si="18"/>
        <v>123118</v>
      </c>
    </row>
    <row r="16" spans="1:38" s="58" customFormat="1">
      <c r="A16" s="149" t="str">
        <f>IF(Menu!$D$18="Português",Apoio!G13,Apoio!H13)</f>
        <v>Margem bruta - R$ mil</v>
      </c>
      <c r="B16" s="64">
        <f t="shared" ref="B16:J16" si="19">B15/B14</f>
        <v>0.3751637656747146</v>
      </c>
      <c r="C16" s="62">
        <v>0</v>
      </c>
      <c r="D16" s="62">
        <v>0</v>
      </c>
      <c r="E16" s="63">
        <v>0</v>
      </c>
      <c r="F16" s="67">
        <f t="shared" si="19"/>
        <v>0.42876551037043747</v>
      </c>
      <c r="G16" s="62">
        <f t="shared" si="19"/>
        <v>0.74698348500168521</v>
      </c>
      <c r="H16" s="62">
        <f t="shared" si="19"/>
        <v>0.74381910796372219</v>
      </c>
      <c r="I16" s="155">
        <f t="shared" si="19"/>
        <v>0.71544499639755788</v>
      </c>
      <c r="J16" s="64">
        <f t="shared" si="19"/>
        <v>0.64257136506525259</v>
      </c>
      <c r="K16" s="62">
        <v>0.62</v>
      </c>
      <c r="L16" s="62">
        <v>0.59</v>
      </c>
      <c r="M16" s="63">
        <v>0.61</v>
      </c>
      <c r="N16" s="64">
        <v>0.37</v>
      </c>
      <c r="O16" s="62">
        <v>0.53</v>
      </c>
      <c r="P16" s="62">
        <v>0.53</v>
      </c>
      <c r="Q16" s="63">
        <v>0.44</v>
      </c>
      <c r="R16" s="64">
        <v>0.4</v>
      </c>
      <c r="S16" s="62">
        <v>0.41</v>
      </c>
      <c r="T16" s="62">
        <v>0.49</v>
      </c>
      <c r="U16" s="155">
        <v>0.39</v>
      </c>
      <c r="V16" s="64">
        <v>0.35</v>
      </c>
      <c r="W16" s="63">
        <f>W15/W14</f>
        <v>0.41592342591567999</v>
      </c>
      <c r="X16" s="62">
        <v>0.49</v>
      </c>
      <c r="AA16" s="156">
        <f t="shared" ref="AA16:AF16" si="20">AA15/AA14</f>
        <v>0.3751637656747146</v>
      </c>
      <c r="AB16" s="156">
        <f t="shared" si="20"/>
        <v>0.70731050576672805</v>
      </c>
      <c r="AC16" s="156">
        <f t="shared" si="20"/>
        <v>0.6163958948864694</v>
      </c>
      <c r="AD16" s="156">
        <f t="shared" si="20"/>
        <v>0.47805498981670064</v>
      </c>
      <c r="AE16" s="156">
        <f t="shared" si="20"/>
        <v>0.42613508453078414</v>
      </c>
      <c r="AF16" s="156">
        <f t="shared" si="20"/>
        <v>0.4277113665655734</v>
      </c>
    </row>
    <row r="17" spans="1:32" s="159" customFormat="1" ht="15.75">
      <c r="A17" s="94" t="str">
        <f>IF(Menu!$D$18="Português",Apoio!G14,Apoio!H14)</f>
        <v>Segmento de Telhas de Concreto</v>
      </c>
      <c r="B17" s="146"/>
      <c r="C17" s="96"/>
      <c r="D17" s="96"/>
      <c r="E17" s="98"/>
      <c r="F17" s="158"/>
      <c r="G17" s="96"/>
      <c r="H17" s="96"/>
      <c r="I17" s="95"/>
      <c r="J17" s="146"/>
      <c r="K17" s="96"/>
      <c r="L17" s="96"/>
      <c r="M17" s="161"/>
      <c r="N17" s="146"/>
      <c r="O17" s="96"/>
      <c r="P17" s="96"/>
      <c r="Q17" s="161"/>
      <c r="R17" s="146"/>
      <c r="S17" s="96"/>
      <c r="T17" s="96"/>
      <c r="U17" s="162"/>
      <c r="V17" s="146"/>
      <c r="W17" s="161"/>
      <c r="X17" s="96"/>
    </row>
    <row r="18" spans="1:32">
      <c r="A18" s="149" t="str">
        <f>IF(Menu!$D$18="Português",Apoio!G15,Apoio!H15)</f>
        <v>Volume de vendas de Telhas de Concreto (mil peças)</v>
      </c>
      <c r="B18" s="12">
        <v>2172</v>
      </c>
      <c r="C18" s="13">
        <f>4925-B18</f>
        <v>2753</v>
      </c>
      <c r="D18" s="13">
        <f>7306-SUM(B18:C18)</f>
        <v>2381</v>
      </c>
      <c r="E18" s="14">
        <f>9436-SUM(B18:D18)</f>
        <v>2130</v>
      </c>
      <c r="F18" s="17">
        <v>1877</v>
      </c>
      <c r="G18" s="13">
        <v>1547.6849999999999</v>
      </c>
      <c r="H18" s="13">
        <v>3086.6570000000002</v>
      </c>
      <c r="I18" s="15">
        <v>2165</v>
      </c>
      <c r="J18" s="12">
        <v>2044.415</v>
      </c>
      <c r="K18" s="13">
        <v>1967</v>
      </c>
      <c r="L18" s="13">
        <v>1954</v>
      </c>
      <c r="M18" s="14">
        <v>2158</v>
      </c>
      <c r="N18" s="12">
        <v>1928</v>
      </c>
      <c r="O18" s="13">
        <v>2384</v>
      </c>
      <c r="P18" s="13">
        <v>2503</v>
      </c>
      <c r="Q18" s="14">
        <v>2091</v>
      </c>
      <c r="R18" s="12">
        <v>1534</v>
      </c>
      <c r="S18" s="13">
        <v>1608</v>
      </c>
      <c r="T18" s="13">
        <v>1549</v>
      </c>
      <c r="U18" s="15">
        <v>1350</v>
      </c>
      <c r="V18" s="12">
        <v>1312</v>
      </c>
      <c r="W18" s="59">
        <v>1863</v>
      </c>
      <c r="X18" s="13">
        <v>1725</v>
      </c>
      <c r="Y18" s="58"/>
      <c r="Z18" s="58"/>
      <c r="AA18" s="13">
        <f t="shared" ref="AA18:AA20" si="21">SUM(B18:E18)</f>
        <v>9436</v>
      </c>
      <c r="AB18" s="13">
        <f t="shared" ref="AB18:AB20" si="22">SUM(F18:I18)</f>
        <v>8676.3420000000006</v>
      </c>
      <c r="AC18" s="13">
        <f t="shared" ref="AC18:AC20" si="23">SUM(J18:M18)</f>
        <v>8123.415</v>
      </c>
      <c r="AD18" s="13">
        <f t="shared" ref="AD18:AD20" si="24">SUM(N18:Q18)</f>
        <v>8906</v>
      </c>
      <c r="AE18" s="13">
        <f t="shared" ref="AE18:AE20" si="25">SUM(R18:U18)</f>
        <v>6041</v>
      </c>
      <c r="AF18" s="13">
        <f>SUM(V18:X18)</f>
        <v>4900</v>
      </c>
    </row>
    <row r="19" spans="1:32">
      <c r="A19" s="149" t="str">
        <f>IF(Menu!$D$18="Português",Apoio!G16,Apoio!H16)</f>
        <v>Receita líquida - R$ mil</v>
      </c>
      <c r="B19" s="12">
        <v>3754</v>
      </c>
      <c r="C19" s="13">
        <f>8373-B19</f>
        <v>4619</v>
      </c>
      <c r="D19" s="13">
        <f>12584-SUM(B19:C19)</f>
        <v>4211</v>
      </c>
      <c r="E19" s="14">
        <f>16102-SUM(B19:D19)</f>
        <v>3518</v>
      </c>
      <c r="F19" s="17">
        <v>3755</v>
      </c>
      <c r="G19" s="13">
        <v>2618</v>
      </c>
      <c r="H19" s="13">
        <v>5124</v>
      </c>
      <c r="I19" s="15">
        <f>15315-SUM(F19:H19)</f>
        <v>3818</v>
      </c>
      <c r="J19" s="12">
        <v>3896</v>
      </c>
      <c r="K19" s="13">
        <v>4088</v>
      </c>
      <c r="L19" s="13">
        <v>4195</v>
      </c>
      <c r="M19" s="14">
        <v>4540</v>
      </c>
      <c r="N19" s="12">
        <v>4286</v>
      </c>
      <c r="O19" s="13">
        <v>5632</v>
      </c>
      <c r="P19" s="13">
        <v>6286</v>
      </c>
      <c r="Q19" s="14">
        <v>5521</v>
      </c>
      <c r="R19" s="12">
        <v>4789</v>
      </c>
      <c r="S19" s="13">
        <v>5102</v>
      </c>
      <c r="T19" s="13">
        <v>4960</v>
      </c>
      <c r="U19" s="15">
        <v>3917</v>
      </c>
      <c r="V19" s="12">
        <v>3997</v>
      </c>
      <c r="W19" s="59">
        <v>5354</v>
      </c>
      <c r="X19" s="13">
        <v>4985</v>
      </c>
      <c r="Y19" s="58"/>
      <c r="Z19" s="58"/>
      <c r="AA19" s="13">
        <f t="shared" si="21"/>
        <v>16102</v>
      </c>
      <c r="AB19" s="13">
        <f t="shared" si="22"/>
        <v>15315</v>
      </c>
      <c r="AC19" s="13">
        <f t="shared" si="23"/>
        <v>16719</v>
      </c>
      <c r="AD19" s="13">
        <f t="shared" si="24"/>
        <v>21725</v>
      </c>
      <c r="AE19" s="13">
        <f t="shared" si="25"/>
        <v>18768</v>
      </c>
      <c r="AF19" s="13">
        <f t="shared" ref="AF19:AF20" si="26">SUM(V19:X19)</f>
        <v>14336</v>
      </c>
    </row>
    <row r="20" spans="1:32">
      <c r="A20" s="149" t="str">
        <f>IF(Menu!$D$18="Português",Apoio!G17,Apoio!H17)</f>
        <v>Lucro bruto - R$ mil</v>
      </c>
      <c r="B20" s="12">
        <v>-128</v>
      </c>
      <c r="C20" s="13">
        <f>842-(B20)</f>
        <v>970</v>
      </c>
      <c r="D20" s="13">
        <f>968-SUM(B20:C20)</f>
        <v>126</v>
      </c>
      <c r="E20" s="14">
        <f>1330-SUM(B20:D20)</f>
        <v>362</v>
      </c>
      <c r="F20" s="17">
        <v>547</v>
      </c>
      <c r="G20" s="13">
        <v>-365</v>
      </c>
      <c r="H20" s="13">
        <v>456</v>
      </c>
      <c r="I20" s="15">
        <f>1317-SUM(F20:H20)</f>
        <v>679</v>
      </c>
      <c r="J20" s="12">
        <v>472</v>
      </c>
      <c r="K20" s="13">
        <v>853</v>
      </c>
      <c r="L20" s="13">
        <v>982</v>
      </c>
      <c r="M20" s="14">
        <v>693</v>
      </c>
      <c r="N20" s="12">
        <v>414</v>
      </c>
      <c r="O20" s="13">
        <v>598</v>
      </c>
      <c r="P20" s="13">
        <v>594</v>
      </c>
      <c r="Q20" s="14">
        <v>819</v>
      </c>
      <c r="R20" s="12">
        <v>865</v>
      </c>
      <c r="S20" s="13">
        <v>1740</v>
      </c>
      <c r="T20" s="13">
        <v>457</v>
      </c>
      <c r="U20" s="15">
        <v>460</v>
      </c>
      <c r="V20" s="12">
        <v>640</v>
      </c>
      <c r="W20" s="59">
        <v>321</v>
      </c>
      <c r="X20" s="13">
        <v>735</v>
      </c>
      <c r="Y20" s="58"/>
      <c r="Z20" s="58"/>
      <c r="AA20" s="13">
        <f t="shared" si="21"/>
        <v>1330</v>
      </c>
      <c r="AB20" s="13">
        <f t="shared" si="22"/>
        <v>1317</v>
      </c>
      <c r="AC20" s="13">
        <f t="shared" si="23"/>
        <v>3000</v>
      </c>
      <c r="AD20" s="13">
        <f t="shared" si="24"/>
        <v>2425</v>
      </c>
      <c r="AE20" s="13">
        <f t="shared" si="25"/>
        <v>3522</v>
      </c>
      <c r="AF20" s="13">
        <f t="shared" si="26"/>
        <v>1696</v>
      </c>
    </row>
    <row r="21" spans="1:32">
      <c r="A21" s="149" t="str">
        <f>IF(Menu!$D$18="Português",Apoio!G18,Apoio!H18)</f>
        <v>Margem bruta - R$ mil</v>
      </c>
      <c r="B21" s="64">
        <f>B20/B19</f>
        <v>-3.4096963239211506E-2</v>
      </c>
      <c r="C21" s="62">
        <f>C20/C19</f>
        <v>0.2100021649707729</v>
      </c>
      <c r="D21" s="62">
        <f>D20/D19</f>
        <v>2.9921633816195677E-2</v>
      </c>
      <c r="E21" s="65">
        <f>E20/E19</f>
        <v>0.10289937464468447</v>
      </c>
      <c r="F21" s="67">
        <f t="shared" ref="F21:K21" si="27">F20/F19</f>
        <v>0.14567243675099867</v>
      </c>
      <c r="G21" s="62">
        <f t="shared" si="27"/>
        <v>-0.13941940412528647</v>
      </c>
      <c r="H21" s="62">
        <f t="shared" si="27"/>
        <v>8.899297423887588E-2</v>
      </c>
      <c r="I21" s="157">
        <f t="shared" si="27"/>
        <v>0.17784180199057098</v>
      </c>
      <c r="J21" s="64">
        <f t="shared" si="27"/>
        <v>0.12114989733059549</v>
      </c>
      <c r="K21" s="62">
        <f t="shared" si="27"/>
        <v>0.20865949119373778</v>
      </c>
      <c r="L21" s="62">
        <v>0.23</v>
      </c>
      <c r="M21" s="65">
        <v>0.15</v>
      </c>
      <c r="N21" s="64">
        <v>0.1</v>
      </c>
      <c r="O21" s="62">
        <v>0.11</v>
      </c>
      <c r="P21" s="62">
        <v>0.09</v>
      </c>
      <c r="Q21" s="65">
        <v>0.15</v>
      </c>
      <c r="R21" s="64">
        <v>0.18</v>
      </c>
      <c r="S21" s="62">
        <v>0.34</v>
      </c>
      <c r="T21" s="62">
        <v>0.09</v>
      </c>
      <c r="U21" s="157">
        <v>0.12</v>
      </c>
      <c r="V21" s="64">
        <v>0.16</v>
      </c>
      <c r="W21" s="63">
        <f>W20/W19</f>
        <v>5.9955173701905118E-2</v>
      </c>
      <c r="X21" s="62">
        <v>0.15</v>
      </c>
      <c r="Y21" s="58"/>
      <c r="Z21" s="58"/>
      <c r="AA21" s="156">
        <f t="shared" ref="AA21:AF21" si="28">AA20/AA19</f>
        <v>8.259843497702149E-2</v>
      </c>
      <c r="AB21" s="156">
        <f t="shared" si="28"/>
        <v>8.599412340842312E-2</v>
      </c>
      <c r="AC21" s="156">
        <f t="shared" si="28"/>
        <v>0.17943656917279741</v>
      </c>
      <c r="AD21" s="156">
        <f t="shared" si="28"/>
        <v>0.11162255466052934</v>
      </c>
      <c r="AE21" s="156">
        <f t="shared" si="28"/>
        <v>0.18765984654731457</v>
      </c>
      <c r="AF21" s="156">
        <f t="shared" si="28"/>
        <v>0.11830357142857142</v>
      </c>
    </row>
  </sheetData>
  <mergeCells count="1">
    <mergeCell ref="AA6:AF6"/>
  </mergeCells>
  <pageMargins left="0.511811024" right="0.511811024" top="0.78740157499999996" bottom="0.78740157499999996" header="0.31496062000000002" footer="0.31496062000000002"/>
  <pageSetup paperSize="9" fitToWidth="0" orientation="portrait" r:id="rId1"/>
  <ignoredErrors>
    <ignoredError sqref="AA8:AE10 AA14:AE15 AB19:AE20 AA7:AE7 AF7:AF10 AA13:AE13 AF13:AF15 AB18:AE18 AF18:AF20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5"/>
  <sheetViews>
    <sheetView showGridLines="0" zoomScaleNormal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16" sqref="A16"/>
    </sheetView>
  </sheetViews>
  <sheetFormatPr defaultRowHeight="12.75"/>
  <cols>
    <col min="1" max="1" width="55.85546875" style="55" customWidth="1"/>
    <col min="2" max="2" width="9" style="55" customWidth="1"/>
    <col min="3" max="3" width="10.42578125" style="55" customWidth="1"/>
    <col min="4" max="16" width="9" style="55" customWidth="1"/>
    <col min="17" max="17" width="10" style="55" customWidth="1"/>
    <col min="18" max="19" width="9.140625" style="55" customWidth="1"/>
    <col min="20" max="24" width="9" style="55" customWidth="1"/>
    <col min="25" max="25" width="8.7109375" style="55" customWidth="1"/>
    <col min="26" max="26" width="9.140625" style="55" customWidth="1"/>
    <col min="27" max="29" width="9" style="55" customWidth="1"/>
    <col min="30" max="30" width="8.42578125" style="55" customWidth="1"/>
    <col min="31" max="42" width="9" style="55" customWidth="1"/>
    <col min="43" max="43" width="7" style="55" customWidth="1"/>
    <col min="44" max="44" width="9.140625" style="55"/>
    <col min="45" max="45" width="0" style="55" hidden="1" customWidth="1"/>
    <col min="46" max="16384" width="9.140625" style="55"/>
  </cols>
  <sheetData>
    <row r="1" spans="1:44" ht="19.5" customHeight="1"/>
    <row r="2" spans="1:44" ht="24" customHeight="1"/>
    <row r="3" spans="1:44" ht="21" customHeight="1">
      <c r="B3" s="39" t="s">
        <v>18</v>
      </c>
      <c r="C3" s="39" t="s">
        <v>19</v>
      </c>
      <c r="D3" s="39" t="s">
        <v>20</v>
      </c>
      <c r="E3" s="39" t="s">
        <v>21</v>
      </c>
      <c r="F3" s="39" t="s">
        <v>22</v>
      </c>
      <c r="G3" s="39" t="s">
        <v>23</v>
      </c>
      <c r="H3" s="39" t="s">
        <v>24</v>
      </c>
      <c r="I3" s="39" t="s">
        <v>25</v>
      </c>
      <c r="J3" s="39" t="s">
        <v>26</v>
      </c>
      <c r="K3" s="39" t="s">
        <v>27</v>
      </c>
      <c r="L3" s="39" t="s">
        <v>28</v>
      </c>
      <c r="M3" s="39" t="s">
        <v>29</v>
      </c>
      <c r="N3" s="39" t="s">
        <v>30</v>
      </c>
      <c r="O3" s="39" t="s">
        <v>31</v>
      </c>
      <c r="P3" s="39" t="s">
        <v>32</v>
      </c>
      <c r="Q3" s="39" t="s">
        <v>33</v>
      </c>
      <c r="R3" s="39" t="s">
        <v>0</v>
      </c>
      <c r="S3" s="39" t="s">
        <v>1</v>
      </c>
      <c r="T3" s="39" t="s">
        <v>2</v>
      </c>
      <c r="U3" s="39" t="s">
        <v>3</v>
      </c>
      <c r="V3" s="39" t="s">
        <v>34</v>
      </c>
      <c r="W3" s="39" t="s">
        <v>35</v>
      </c>
      <c r="X3" s="39" t="s">
        <v>36</v>
      </c>
      <c r="Y3" s="39" t="s">
        <v>37</v>
      </c>
      <c r="Z3" s="39" t="s">
        <v>4</v>
      </c>
      <c r="AA3" s="39" t="s">
        <v>5</v>
      </c>
      <c r="AB3" s="39" t="s">
        <v>6</v>
      </c>
      <c r="AC3" s="39" t="s">
        <v>7</v>
      </c>
      <c r="AD3" s="39" t="s">
        <v>38</v>
      </c>
      <c r="AE3" s="39" t="s">
        <v>39</v>
      </c>
      <c r="AF3" s="39" t="s">
        <v>40</v>
      </c>
      <c r="AG3" s="39" t="s">
        <v>41</v>
      </c>
      <c r="AH3" s="39" t="s">
        <v>42</v>
      </c>
      <c r="AI3" s="39" t="s">
        <v>8</v>
      </c>
      <c r="AJ3" s="39" t="s">
        <v>9</v>
      </c>
      <c r="AK3" s="39" t="s">
        <v>10</v>
      </c>
      <c r="AL3" s="39" t="s">
        <v>11</v>
      </c>
      <c r="AM3" s="39" t="s">
        <v>12</v>
      </c>
      <c r="AN3" s="39" t="s">
        <v>13</v>
      </c>
      <c r="AO3" s="39" t="s">
        <v>14</v>
      </c>
      <c r="AP3" s="39" t="s">
        <v>15</v>
      </c>
      <c r="AQ3" s="39" t="s">
        <v>43</v>
      </c>
    </row>
    <row r="4" spans="1:44">
      <c r="A4" s="56" t="s">
        <v>238</v>
      </c>
      <c r="B4" s="5" t="str">
        <f>IF(Menu!$D18="Português",DFC!B$3,LEFT(B3,1)&amp;"Q"&amp;RIGHT(B3,LEN(B3)-FIND("T",B3)))</f>
        <v>1T14</v>
      </c>
      <c r="C4" s="5" t="str">
        <f>IF(Menu!$D18="Português",DFC!C$3,LEFT(C3,1)&amp;"Q"&amp;RIGHT(C3,LEN(C3)-FIND("T",C3)))</f>
        <v>2T14</v>
      </c>
      <c r="D4" s="5" t="str">
        <f>IF(Menu!$D18="Português",DFC!D$3,LEFT(D3,1)&amp;"Q"&amp;RIGHT(D3,LEN(D3)-FIND("T",D3)))</f>
        <v>3T14</v>
      </c>
      <c r="E4" s="6" t="str">
        <f>IF(Menu!$D18="Português",DFC!E$3,LEFT(E3,1)&amp;"Q"&amp;RIGHT(E3,LEN(E3)-FIND("T",E3)))</f>
        <v>4T14</v>
      </c>
      <c r="F4" s="54" t="str">
        <f>IF(Menu!$D18="Português",DFC!F$3,LEFT(F3,1)&amp;"Q"&amp;RIGHT(F3,LEN(F3)-FIND("T",F3)))</f>
        <v>1T15</v>
      </c>
      <c r="G4" s="5" t="str">
        <f>IF(Menu!$D18="Português",DFC!G$3,LEFT(G3,1)&amp;"Q"&amp;RIGHT(G3,LEN(G3)-FIND("T",G3)))</f>
        <v>2T15</v>
      </c>
      <c r="H4" s="5" t="str">
        <f>IF(Menu!$D18="Português",DFC!H$3,LEFT(H3,1)&amp;"Q"&amp;RIGHT(H3,LEN(H3)-FIND("T",H3)))</f>
        <v>3T15</v>
      </c>
      <c r="I4" s="6" t="str">
        <f>IF(Menu!$D18="Português",DFC!I$3,LEFT(I3,1)&amp;"Q"&amp;RIGHT(I3,LEN(I3)-FIND("T",I3)))</f>
        <v>4T15</v>
      </c>
      <c r="J4" s="54" t="str">
        <f>IF(Menu!$D18="Português",DFC!J$3,LEFT(J3,1)&amp;"Q"&amp;RIGHT(J3,LEN(J3)-FIND("T",J3)))</f>
        <v>1T16</v>
      </c>
      <c r="K4" s="5" t="str">
        <f>IF(Menu!$D18="Português",DFC!K$3,LEFT(K3,1)&amp;"Q"&amp;RIGHT(K3,LEN(K3)-FIND("T",K3)))</f>
        <v>2T16</v>
      </c>
      <c r="L4" s="5" t="str">
        <f>IF(Menu!$D18="Português",DFC!L$3,LEFT(L3,1)&amp;"Q"&amp;RIGHT(L3,LEN(L3)-FIND("T",L3)))</f>
        <v>3T16</v>
      </c>
      <c r="M4" s="6" t="str">
        <f>IF(Menu!$D18="Português",DFC!M$3,LEFT(M3,1)&amp;"Q"&amp;RIGHT(M3,LEN(M3)-FIND("T",M3)))</f>
        <v>4T16</v>
      </c>
      <c r="N4" s="54" t="str">
        <f>IF(Menu!$D18="Português",DFC!N$3,LEFT(N3,1)&amp;"Q"&amp;RIGHT(N3,LEN(N3)-FIND("T",N3)))</f>
        <v>1T17</v>
      </c>
      <c r="O4" s="5" t="str">
        <f>IF(Menu!$D18="Português",DFC!O$3,LEFT(O3,1)&amp;"Q"&amp;RIGHT(O3,LEN(O3)-FIND("T",O3)))</f>
        <v>2T17</v>
      </c>
      <c r="P4" s="5" t="str">
        <f>IF(Menu!$D18="Português",DFC!P$3,LEFT(P3,1)&amp;"Q"&amp;RIGHT(P3,LEN(P3)-FIND("T",P3)))</f>
        <v>3T17</v>
      </c>
      <c r="Q4" s="6" t="str">
        <f>IF(Menu!$D18="Português",DFC!Q$3,LEFT(Q3,1)&amp;"Q"&amp;RIGHT(Q3,LEN(Q3)-FIND("T",Q3)))</f>
        <v>4T17</v>
      </c>
      <c r="R4" s="54" t="str">
        <f>IF(Menu!$D18="Português",DFC!R$3,LEFT(R3,1)&amp;"Q"&amp;RIGHT(R3,LEN(R3)-FIND("T",R3)))</f>
        <v>1T18</v>
      </c>
      <c r="S4" s="5" t="str">
        <f>IF(Menu!$D18="Português",DFC!S$3,LEFT(S3,1)&amp;"Q"&amp;RIGHT(S3,LEN(S3)-FIND("T",S3)))</f>
        <v>2T18</v>
      </c>
      <c r="T4" s="5" t="str">
        <f>IF(Menu!$D18="Português",DFC!T$3,LEFT(T3,1)&amp;"Q"&amp;RIGHT(T3,LEN(T3)-FIND("T",T3)))</f>
        <v>3T18</v>
      </c>
      <c r="U4" s="5" t="str">
        <f>IF(Menu!$D18="Português",DFC!U$3,LEFT(U3,1)&amp;"Q"&amp;RIGHT(U3,LEN(U3)-FIND("T",U3)))</f>
        <v>4T18</v>
      </c>
      <c r="V4" s="5" t="str">
        <f>IF(Menu!$D18="Português",DFC!V$3,LEFT(V3,1)&amp;"Q"&amp;RIGHT(V3,LEN(V3)-FIND("T",V3)))</f>
        <v>1T19</v>
      </c>
      <c r="W4" s="5" t="str">
        <f>IF(Menu!$D18="Português",DFC!W$3,LEFT(W3,1)&amp;"Q"&amp;RIGHT(W3,LEN(W3)-FIND("T",W3)))</f>
        <v>2T19</v>
      </c>
      <c r="X4" s="5" t="str">
        <f>IF(Menu!$D18="Português",DFC!X$3,LEFT(X3,1)&amp;"Q"&amp;RIGHT(X3,LEN(X3)-FIND("T",X3)))</f>
        <v>3T19</v>
      </c>
      <c r="Y4" s="6" t="str">
        <f>IF(Menu!$D18="Português",DFC!Y$3,LEFT(Y3,1)&amp;"Q"&amp;RIGHT(Y3,LEN(Y3)-FIND("T",Y3)))</f>
        <v>4T19</v>
      </c>
      <c r="Z4" s="54" t="str">
        <f>IF(Menu!$D18="Português",DFC!Z$3,LEFT(Z3,1)&amp;"Q"&amp;RIGHT(Z3,LEN(Z3)-FIND("T",Z3)))</f>
        <v>1T20</v>
      </c>
      <c r="AA4" s="5" t="str">
        <f>IF(Menu!$D18="Português",DFC!AA$3,LEFT(AA3,1)&amp;"Q"&amp;RIGHT(AA3,LEN(AA3)-FIND("T",AA3)))</f>
        <v>2T20</v>
      </c>
      <c r="AB4" s="5" t="str">
        <f>IF(Menu!$D18="Português",DFC!AB$3,LEFT(AB3,1)&amp;"Q"&amp;RIGHT(AB3,LEN(AB3)-FIND("T",AB3)))</f>
        <v>3T20</v>
      </c>
      <c r="AC4" s="6" t="str">
        <f>IF(Menu!$D18="Português",DFC!AC$3,LEFT(AC3,1)&amp;"Q"&amp;RIGHT(AC3,LEN(AC3)-FIND("T",AC3)))</f>
        <v>4T20</v>
      </c>
      <c r="AD4" s="54" t="str">
        <f>IF(Menu!$D18="Português",DFC!AD$3,LEFT(AD3,1)&amp;"Q"&amp;RIGHT(AD3,LEN(AD3)-FIND("T",AD3)))</f>
        <v>1T21</v>
      </c>
      <c r="AE4" s="5" t="str">
        <f>IF(Menu!$D18="Português",DFC!AE$3,LEFT(AE3,1)&amp;"Q"&amp;RIGHT(AE3,LEN(AE3)-FIND("T",AE3)))</f>
        <v>2T21</v>
      </c>
      <c r="AF4" s="5" t="str">
        <f>IF(Menu!$D18="Português",DFC!AF$3,LEFT(AF3,1)&amp;"Q"&amp;RIGHT(AF3,LEN(AF3)-FIND("T",AF3)))</f>
        <v>3T21</v>
      </c>
      <c r="AG4" s="6" t="str">
        <f>IF(Menu!$D18="Português",DFC!AG$3,LEFT(AG3,1)&amp;"Q"&amp;RIGHT(AG3,LEN(AG3)-FIND("T",AG3)))</f>
        <v>4T21</v>
      </c>
      <c r="AH4" s="54" t="str">
        <f>IF(Menu!$D18="Português",DFC!AH$3,LEFT(AH3,1)&amp;"Q"&amp;RIGHT(AH3,LEN(AH3)-FIND("T",AH3)))</f>
        <v>1T22</v>
      </c>
      <c r="AI4" s="5" t="str">
        <f>IF(Menu!$D18="Português",DFC!AI$3,LEFT(AI3,1)&amp;"Q"&amp;RIGHT(AI3,LEN(AI3)-FIND("T",AI3)))</f>
        <v>2T22</v>
      </c>
      <c r="AJ4" s="5" t="str">
        <f>IF(Menu!$D18="Português",DFC!AJ$3,LEFT(AJ3,1)&amp;"Q"&amp;RIGHT(AJ3,LEN(AJ3)-FIND("T",AJ3)))</f>
        <v>3T22</v>
      </c>
      <c r="AK4" s="6" t="str">
        <f>IF(Menu!$D18="Português",DFC!AK$3,LEFT(AK3,1)&amp;"Q"&amp;RIGHT(AK3,LEN(AK3)-FIND("T",AK3)))</f>
        <v>4T22</v>
      </c>
      <c r="AL4" s="54" t="str">
        <f>IF(Menu!$D18="Português",DFC!AL$3,LEFT(AL3,1)&amp;"Q"&amp;RIGHT(AL3,LEN(AL3)-FIND("T",AL3)))</f>
        <v>1T23</v>
      </c>
      <c r="AM4" s="5" t="str">
        <f>IF(Menu!$D18="Português",DFC!AM$3,LEFT(AM3,1)&amp;"Q"&amp;RIGHT(AM3,LEN(AM3)-FIND("T",AM3)))</f>
        <v>2T23</v>
      </c>
      <c r="AN4" s="5" t="str">
        <f>IF(Menu!$D18="Português",DFC!AN$3,LEFT(AN3,1)&amp;"Q"&amp;RIGHT(AN3,LEN(AN3)-FIND("T",AN3)))</f>
        <v>3T23</v>
      </c>
      <c r="AO4" s="6" t="str">
        <f>IF(Menu!$D18="Português",DFC!AO$3,LEFT(AO3,1)&amp;"Q"&amp;RIGHT(AO3,LEN(AO3)-FIND("T",AO3)))</f>
        <v>4T23</v>
      </c>
      <c r="AP4" s="54" t="str">
        <f>IF(Menu!$D18="Português",DFC!AP$3,LEFT(AP3,1)&amp;"Q"&amp;RIGHT(AP3,LEN(AP3)-FIND("T",AP3)))</f>
        <v>1T24</v>
      </c>
      <c r="AQ4" s="5" t="str">
        <f>IF(Menu!$D18="Português",DFC!AQ$3,LEFT(AQ3,1)&amp;"Q"&amp;RIGHT(AQ3,LEN(AQ3)-FIND("T",AQ3)))</f>
        <v>2T24</v>
      </c>
    </row>
    <row r="5" spans="1:44">
      <c r="A5" s="87" t="s">
        <v>239</v>
      </c>
      <c r="B5" s="54"/>
      <c r="C5" s="5"/>
      <c r="D5" s="5"/>
      <c r="E5" s="6"/>
      <c r="F5" s="54"/>
      <c r="G5" s="5"/>
      <c r="H5" s="5"/>
      <c r="I5" s="6"/>
      <c r="J5" s="54"/>
      <c r="K5" s="5"/>
      <c r="L5" s="5"/>
      <c r="M5" s="6"/>
      <c r="N5" s="54"/>
      <c r="O5" s="5"/>
      <c r="P5" s="5"/>
      <c r="Q5" s="6"/>
      <c r="R5" s="54"/>
      <c r="S5" s="5"/>
      <c r="T5" s="5"/>
      <c r="U5" s="7"/>
      <c r="V5" s="5"/>
      <c r="W5" s="5"/>
      <c r="X5" s="5"/>
      <c r="Y5" s="6"/>
      <c r="Z5" s="54"/>
      <c r="AA5" s="5"/>
      <c r="AB5" s="5"/>
      <c r="AC5" s="6"/>
      <c r="AD5" s="54"/>
      <c r="AE5" s="5"/>
      <c r="AF5" s="5"/>
      <c r="AG5" s="6"/>
      <c r="AH5" s="54"/>
      <c r="AI5" s="5"/>
      <c r="AJ5" s="5"/>
      <c r="AK5" s="6"/>
      <c r="AL5" s="54"/>
      <c r="AM5" s="5"/>
      <c r="AN5" s="5"/>
      <c r="AO5" s="6"/>
      <c r="AP5" s="54"/>
      <c r="AQ5" s="5"/>
    </row>
    <row r="6" spans="1:44" ht="16.5" customHeight="1">
      <c r="A6" s="30" t="s">
        <v>49</v>
      </c>
      <c r="B6" s="17"/>
      <c r="C6" s="13"/>
      <c r="D6" s="13"/>
      <c r="E6" s="14"/>
      <c r="F6" s="12"/>
      <c r="G6" s="13"/>
      <c r="H6" s="13"/>
      <c r="I6" s="13"/>
      <c r="J6" s="12"/>
      <c r="K6" s="13"/>
      <c r="L6" s="13"/>
      <c r="M6" s="13"/>
      <c r="N6" s="12"/>
      <c r="O6" s="13"/>
      <c r="P6" s="13"/>
      <c r="Q6" s="14"/>
      <c r="R6" s="13"/>
      <c r="S6" s="13"/>
      <c r="T6" s="13"/>
      <c r="U6" s="14"/>
      <c r="V6" s="13"/>
      <c r="W6" s="13"/>
      <c r="X6" s="13"/>
      <c r="Y6" s="14"/>
      <c r="Z6" s="13"/>
      <c r="AA6" s="13"/>
      <c r="AB6" s="13"/>
      <c r="AC6" s="59"/>
      <c r="AD6" s="13"/>
      <c r="AE6" s="13"/>
      <c r="AF6" s="13"/>
      <c r="AG6" s="59"/>
      <c r="AH6" s="12"/>
      <c r="AI6" s="13"/>
      <c r="AJ6" s="13"/>
      <c r="AK6" s="59"/>
      <c r="AL6" s="12"/>
      <c r="AM6" s="13"/>
      <c r="AN6" s="13"/>
      <c r="AO6" s="59"/>
      <c r="AP6" s="12"/>
      <c r="AQ6" s="8"/>
      <c r="AR6" s="60"/>
    </row>
    <row r="7" spans="1:44" ht="38.25">
      <c r="A7" s="87" t="s">
        <v>244</v>
      </c>
      <c r="B7" s="88"/>
      <c r="C7" s="89"/>
      <c r="D7" s="89"/>
      <c r="E7" s="90"/>
      <c r="F7" s="91"/>
      <c r="G7" s="89"/>
      <c r="H7" s="89"/>
      <c r="I7" s="89"/>
      <c r="J7" s="91"/>
      <c r="K7" s="89"/>
      <c r="L7" s="89"/>
      <c r="M7" s="89"/>
      <c r="N7" s="91"/>
      <c r="O7" s="89"/>
      <c r="P7" s="89"/>
      <c r="Q7" s="28"/>
      <c r="R7" s="91"/>
      <c r="S7" s="89"/>
      <c r="T7" s="89"/>
      <c r="U7" s="90"/>
      <c r="V7" s="91"/>
      <c r="W7" s="89"/>
      <c r="X7" s="89"/>
      <c r="Y7" s="28"/>
      <c r="Z7" s="91"/>
      <c r="AA7" s="89"/>
      <c r="AB7" s="89"/>
      <c r="AC7" s="92"/>
      <c r="AD7" s="91"/>
      <c r="AE7" s="89"/>
      <c r="AF7" s="89"/>
      <c r="AG7" s="92"/>
      <c r="AH7" s="91"/>
      <c r="AI7" s="89"/>
      <c r="AJ7" s="89"/>
      <c r="AK7" s="92"/>
      <c r="AL7" s="91"/>
      <c r="AM7" s="89"/>
      <c r="AN7" s="89"/>
      <c r="AO7" s="92"/>
      <c r="AP7" s="91"/>
      <c r="AQ7" s="27"/>
    </row>
    <row r="8" spans="1:44">
      <c r="A8" s="30" t="s">
        <v>45</v>
      </c>
      <c r="B8" s="17"/>
      <c r="C8" s="13"/>
      <c r="D8" s="13"/>
      <c r="E8" s="14"/>
      <c r="F8" s="12"/>
      <c r="G8" s="13"/>
      <c r="H8" s="13"/>
      <c r="I8" s="14"/>
      <c r="J8" s="12"/>
      <c r="K8" s="13"/>
      <c r="L8" s="13"/>
      <c r="M8" s="14"/>
      <c r="N8" s="12"/>
      <c r="O8" s="13"/>
      <c r="P8" s="13"/>
      <c r="Q8" s="14"/>
      <c r="R8" s="12"/>
      <c r="S8" s="13"/>
      <c r="T8" s="13"/>
      <c r="U8" s="14"/>
      <c r="V8" s="12"/>
      <c r="W8" s="13"/>
      <c r="X8" s="13"/>
      <c r="Y8" s="14"/>
      <c r="Z8" s="12"/>
      <c r="AA8" s="13"/>
      <c r="AB8" s="13"/>
      <c r="AC8" s="59"/>
      <c r="AD8" s="12"/>
      <c r="AE8" s="13"/>
      <c r="AF8" s="13"/>
      <c r="AG8" s="59"/>
      <c r="AH8" s="12"/>
      <c r="AI8" s="13"/>
      <c r="AJ8" s="13"/>
      <c r="AK8" s="59"/>
      <c r="AL8" s="12"/>
      <c r="AM8" s="13"/>
      <c r="AN8" s="13"/>
      <c r="AO8" s="59"/>
      <c r="AP8" s="12"/>
      <c r="AQ8" s="8"/>
    </row>
    <row r="9" spans="1:44">
      <c r="A9" s="30" t="s">
        <v>245</v>
      </c>
      <c r="B9" s="17"/>
      <c r="C9" s="13"/>
      <c r="D9" s="13"/>
      <c r="E9" s="14"/>
      <c r="F9" s="12"/>
      <c r="G9" s="13"/>
      <c r="H9" s="13"/>
      <c r="I9" s="14"/>
      <c r="J9" s="12"/>
      <c r="K9" s="13"/>
      <c r="L9" s="13"/>
      <c r="M9" s="14"/>
      <c r="N9" s="12"/>
      <c r="O9" s="13"/>
      <c r="P9" s="13"/>
      <c r="Q9" s="14"/>
      <c r="R9" s="13"/>
      <c r="S9" s="13"/>
      <c r="T9" s="13"/>
      <c r="U9" s="14"/>
      <c r="V9" s="13"/>
      <c r="W9" s="13"/>
      <c r="X9" s="13"/>
      <c r="Y9" s="14"/>
      <c r="Z9" s="13"/>
      <c r="AA9" s="13"/>
      <c r="AB9" s="13"/>
      <c r="AC9" s="14"/>
      <c r="AD9" s="13"/>
      <c r="AE9" s="13"/>
      <c r="AF9" s="13"/>
      <c r="AG9" s="59"/>
      <c r="AH9" s="12"/>
      <c r="AI9" s="13"/>
      <c r="AJ9" s="13"/>
      <c r="AK9" s="59"/>
      <c r="AL9" s="12"/>
      <c r="AM9" s="13"/>
      <c r="AN9" s="13"/>
      <c r="AO9" s="59"/>
      <c r="AP9" s="12"/>
      <c r="AQ9" s="8"/>
      <c r="AR9" s="61"/>
    </row>
    <row r="10" spans="1:44">
      <c r="A10" s="30" t="s">
        <v>246</v>
      </c>
      <c r="B10" s="67"/>
      <c r="C10" s="62"/>
      <c r="D10" s="62"/>
      <c r="E10" s="63"/>
      <c r="F10" s="62"/>
      <c r="G10" s="62"/>
      <c r="H10" s="62"/>
      <c r="I10" s="63"/>
      <c r="J10" s="62"/>
      <c r="K10" s="62"/>
      <c r="L10" s="62"/>
      <c r="M10" s="63"/>
      <c r="N10" s="62"/>
      <c r="O10" s="62"/>
      <c r="P10" s="62"/>
      <c r="Q10" s="63"/>
      <c r="R10" s="62"/>
      <c r="S10" s="62"/>
      <c r="T10" s="62"/>
      <c r="U10" s="63"/>
      <c r="V10" s="62"/>
      <c r="W10" s="62"/>
      <c r="X10" s="62"/>
      <c r="Y10" s="63"/>
      <c r="Z10" s="62"/>
      <c r="AA10" s="62"/>
      <c r="AB10" s="62"/>
      <c r="AC10" s="63"/>
      <c r="AD10" s="62"/>
      <c r="AE10" s="62"/>
      <c r="AF10" s="62"/>
      <c r="AG10" s="63"/>
      <c r="AH10" s="62"/>
      <c r="AI10" s="62"/>
      <c r="AJ10" s="62"/>
      <c r="AK10" s="63"/>
      <c r="AL10" s="64"/>
      <c r="AM10" s="62"/>
      <c r="AN10" s="62"/>
      <c r="AO10" s="63"/>
      <c r="AP10" s="64"/>
      <c r="AQ10" s="8"/>
    </row>
    <row r="11" spans="1:44" s="58" customFormat="1" ht="25.5">
      <c r="A11" s="30" t="s">
        <v>247</v>
      </c>
      <c r="B11" s="35"/>
      <c r="C11" s="33"/>
      <c r="D11" s="33"/>
      <c r="E11" s="34"/>
      <c r="F11" s="35"/>
      <c r="G11" s="33"/>
      <c r="H11" s="33"/>
      <c r="I11" s="34"/>
      <c r="J11" s="35"/>
      <c r="K11" s="33"/>
      <c r="L11" s="33"/>
      <c r="M11" s="34"/>
      <c r="N11" s="35"/>
      <c r="O11" s="33"/>
      <c r="P11" s="33"/>
      <c r="Q11" s="34"/>
      <c r="R11" s="35"/>
      <c r="S11" s="33"/>
      <c r="T11" s="33"/>
      <c r="U11" s="34"/>
      <c r="V11" s="33"/>
      <c r="W11" s="33"/>
      <c r="X11" s="33"/>
      <c r="Y11" s="34"/>
      <c r="Z11" s="35"/>
      <c r="AA11" s="33"/>
      <c r="AB11" s="33"/>
      <c r="AC11" s="34"/>
      <c r="AD11" s="35"/>
      <c r="AE11" s="33"/>
      <c r="AF11" s="33"/>
      <c r="AG11" s="34"/>
      <c r="AH11" s="35"/>
      <c r="AI11" s="33"/>
      <c r="AJ11" s="33"/>
      <c r="AK11" s="34"/>
      <c r="AL11" s="35"/>
      <c r="AM11" s="33"/>
      <c r="AN11" s="33"/>
      <c r="AO11" s="34"/>
      <c r="AP11" s="35"/>
      <c r="AQ11" s="33"/>
    </row>
    <row r="12" spans="1:44" s="58" customFormat="1">
      <c r="A12" s="30" t="s">
        <v>248</v>
      </c>
      <c r="B12" s="17"/>
      <c r="C12" s="13"/>
      <c r="D12" s="13"/>
      <c r="E12" s="14"/>
      <c r="F12" s="12"/>
      <c r="G12" s="13"/>
      <c r="H12" s="13"/>
      <c r="I12" s="14"/>
      <c r="J12" s="12"/>
      <c r="K12" s="13"/>
      <c r="L12" s="13"/>
      <c r="M12" s="14"/>
      <c r="N12" s="12"/>
      <c r="O12" s="13"/>
      <c r="P12" s="13"/>
      <c r="Q12" s="14"/>
      <c r="R12" s="13"/>
      <c r="S12" s="13"/>
      <c r="T12" s="13"/>
      <c r="U12" s="14"/>
      <c r="V12" s="13"/>
      <c r="W12" s="13"/>
      <c r="X12" s="13"/>
      <c r="Y12" s="14"/>
      <c r="Z12" s="13"/>
      <c r="AA12" s="17"/>
      <c r="AB12" s="13"/>
      <c r="AC12" s="14"/>
      <c r="AD12" s="12"/>
      <c r="AE12" s="13"/>
      <c r="AF12" s="13"/>
      <c r="AG12" s="14"/>
      <c r="AH12" s="12"/>
      <c r="AI12" s="13"/>
      <c r="AJ12" s="13"/>
      <c r="AK12" s="14"/>
      <c r="AL12" s="12"/>
      <c r="AM12" s="13"/>
      <c r="AN12" s="13"/>
      <c r="AO12" s="14"/>
      <c r="AP12" s="12"/>
      <c r="AQ12" s="12"/>
    </row>
    <row r="13" spans="1:44" s="58" customFormat="1">
      <c r="A13" s="30" t="s">
        <v>98</v>
      </c>
      <c r="B13" s="17"/>
      <c r="C13" s="13"/>
      <c r="D13" s="13"/>
      <c r="E13" s="14"/>
      <c r="F13" s="12"/>
      <c r="G13" s="13"/>
      <c r="H13" s="13"/>
      <c r="I13" s="14"/>
      <c r="J13" s="12"/>
      <c r="K13" s="13"/>
      <c r="L13" s="13"/>
      <c r="M13" s="14"/>
      <c r="N13" s="12"/>
      <c r="O13" s="13"/>
      <c r="P13" s="13"/>
      <c r="Q13" s="14"/>
      <c r="R13" s="12"/>
      <c r="S13" s="13"/>
      <c r="T13" s="13"/>
      <c r="U13" s="14"/>
      <c r="V13" s="12"/>
      <c r="W13" s="13"/>
      <c r="X13" s="13"/>
      <c r="Y13" s="14"/>
      <c r="Z13" s="12"/>
      <c r="AA13" s="17"/>
      <c r="AB13" s="13"/>
      <c r="AC13" s="14"/>
      <c r="AD13" s="16"/>
      <c r="AE13" s="13"/>
      <c r="AF13" s="13"/>
      <c r="AG13" s="14"/>
      <c r="AH13" s="12"/>
      <c r="AI13" s="13"/>
      <c r="AJ13" s="13"/>
      <c r="AK13" s="14"/>
      <c r="AL13" s="12"/>
      <c r="AM13" s="13"/>
      <c r="AN13" s="13"/>
      <c r="AO13" s="14"/>
      <c r="AP13" s="12"/>
      <c r="AQ13" s="12"/>
    </row>
    <row r="14" spans="1:44" s="58" customFormat="1">
      <c r="A14" s="30" t="s">
        <v>114</v>
      </c>
      <c r="B14" s="17"/>
      <c r="C14" s="13"/>
      <c r="D14" s="13"/>
      <c r="E14" s="14"/>
      <c r="F14" s="12"/>
      <c r="G14" s="13"/>
      <c r="H14" s="13"/>
      <c r="I14" s="14"/>
      <c r="J14" s="12"/>
      <c r="K14" s="13"/>
      <c r="L14" s="13"/>
      <c r="M14" s="14"/>
      <c r="N14" s="12"/>
      <c r="O14" s="13"/>
      <c r="P14" s="13"/>
      <c r="Q14" s="14"/>
      <c r="R14" s="12"/>
      <c r="S14" s="13"/>
      <c r="T14" s="13"/>
      <c r="U14" s="14"/>
      <c r="V14" s="17"/>
      <c r="W14" s="13"/>
      <c r="X14" s="13"/>
      <c r="Y14" s="14"/>
      <c r="Z14" s="16"/>
      <c r="AA14" s="13"/>
      <c r="AB14" s="13"/>
      <c r="AC14" s="14"/>
      <c r="AD14" s="13"/>
      <c r="AE14" s="13"/>
      <c r="AF14" s="13"/>
      <c r="AG14" s="59"/>
      <c r="AH14" s="12"/>
      <c r="AI14" s="13"/>
      <c r="AJ14" s="13"/>
      <c r="AK14" s="59"/>
      <c r="AL14" s="12"/>
      <c r="AM14" s="13"/>
      <c r="AN14" s="13"/>
      <c r="AO14" s="59"/>
      <c r="AP14" s="12"/>
      <c r="AQ14" s="12"/>
    </row>
    <row r="15" spans="1:44" s="58" customFormat="1">
      <c r="A15" s="30" t="s">
        <v>123</v>
      </c>
      <c r="B15" s="67"/>
      <c r="C15" s="62"/>
      <c r="D15" s="62"/>
      <c r="E15" s="63"/>
      <c r="F15" s="62"/>
      <c r="G15" s="62"/>
      <c r="H15" s="62"/>
      <c r="I15" s="63"/>
      <c r="J15" s="62"/>
      <c r="K15" s="62"/>
      <c r="L15" s="62"/>
      <c r="M15" s="63"/>
      <c r="N15" s="62"/>
      <c r="O15" s="62"/>
      <c r="P15" s="62"/>
      <c r="Q15" s="63"/>
      <c r="R15" s="62"/>
      <c r="S15" s="62"/>
      <c r="T15" s="62"/>
      <c r="U15" s="63"/>
      <c r="V15" s="67"/>
      <c r="W15" s="62"/>
      <c r="X15" s="62"/>
      <c r="Y15" s="63"/>
      <c r="Z15" s="62"/>
      <c r="AA15" s="62"/>
      <c r="AB15" s="62"/>
      <c r="AC15" s="63"/>
      <c r="AD15" s="62"/>
      <c r="AE15" s="62"/>
      <c r="AF15" s="62"/>
      <c r="AG15" s="63"/>
      <c r="AH15" s="64"/>
      <c r="AI15" s="62"/>
      <c r="AJ15" s="62"/>
      <c r="AK15" s="63"/>
      <c r="AL15" s="64"/>
      <c r="AM15" s="62"/>
      <c r="AN15" s="62"/>
      <c r="AO15" s="63"/>
      <c r="AP15" s="64"/>
      <c r="AQ15" s="64"/>
    </row>
    <row r="16" spans="1:44" s="58" customFormat="1">
      <c r="A16" s="30" t="s">
        <v>118</v>
      </c>
      <c r="B16" s="35"/>
      <c r="C16" s="33"/>
      <c r="D16" s="33"/>
      <c r="E16" s="34"/>
      <c r="F16" s="35"/>
      <c r="G16" s="33"/>
      <c r="H16" s="33"/>
      <c r="I16" s="34"/>
      <c r="J16" s="35"/>
      <c r="K16" s="33"/>
      <c r="L16" s="33"/>
      <c r="M16" s="34"/>
      <c r="N16" s="35"/>
      <c r="O16" s="33"/>
      <c r="P16" s="33"/>
      <c r="Q16" s="34"/>
      <c r="R16" s="35"/>
      <c r="S16" s="33"/>
      <c r="T16" s="33"/>
      <c r="U16" s="34"/>
      <c r="V16" s="35"/>
      <c r="W16" s="33"/>
      <c r="X16" s="33"/>
      <c r="Y16" s="34"/>
      <c r="Z16" s="35"/>
      <c r="AA16" s="33"/>
      <c r="AB16" s="33"/>
      <c r="AC16" s="34"/>
      <c r="AD16" s="35"/>
      <c r="AE16" s="33"/>
      <c r="AF16" s="33"/>
      <c r="AG16" s="93"/>
      <c r="AH16" s="35"/>
      <c r="AI16" s="33"/>
      <c r="AJ16" s="33"/>
      <c r="AK16" s="93"/>
      <c r="AL16" s="35"/>
      <c r="AM16" s="33"/>
      <c r="AN16" s="33"/>
      <c r="AO16" s="93"/>
      <c r="AP16" s="35"/>
      <c r="AQ16" s="33"/>
    </row>
    <row r="17" spans="1:43" s="58" customFormat="1" ht="15">
      <c r="A17" s="30"/>
      <c r="B17" s="17"/>
      <c r="C17" s="13"/>
      <c r="D17" s="13"/>
      <c r="E17" s="14"/>
      <c r="F17" s="12"/>
      <c r="G17" s="13"/>
      <c r="H17" s="13"/>
      <c r="I17" s="14"/>
      <c r="J17" s="12"/>
      <c r="K17" s="13"/>
      <c r="L17" s="13"/>
      <c r="M17" s="14"/>
      <c r="N17" s="12"/>
      <c r="O17" s="13"/>
      <c r="P17" s="13"/>
      <c r="Q17" s="14"/>
      <c r="R17" s="13"/>
      <c r="S17" s="13"/>
      <c r="T17" s="13"/>
      <c r="U17" s="14"/>
      <c r="V17" s="13"/>
      <c r="W17" s="13"/>
      <c r="X17" s="13"/>
      <c r="Y17" s="4"/>
      <c r="Z17" s="13"/>
      <c r="AA17" s="13"/>
      <c r="AB17" s="13"/>
      <c r="AC17" s="14"/>
      <c r="AD17" s="13"/>
      <c r="AE17" s="13"/>
      <c r="AF17" s="13"/>
      <c r="AG17" s="14"/>
      <c r="AH17" s="12"/>
      <c r="AI17" s="13"/>
      <c r="AJ17" s="13"/>
      <c r="AK17" s="14"/>
      <c r="AL17" s="12"/>
      <c r="AM17" s="13"/>
      <c r="AN17" s="13"/>
      <c r="AO17" s="14"/>
      <c r="AP17" s="12"/>
      <c r="AQ17" s="12"/>
    </row>
    <row r="18" spans="1:43" s="58" customFormat="1">
      <c r="A18" s="30"/>
      <c r="B18" s="17"/>
      <c r="C18" s="13"/>
      <c r="D18" s="13"/>
      <c r="E18" s="14"/>
      <c r="F18" s="12"/>
      <c r="G18" s="13"/>
      <c r="H18" s="13"/>
      <c r="I18" s="14"/>
      <c r="J18" s="12"/>
      <c r="K18" s="13"/>
      <c r="L18" s="13"/>
      <c r="M18" s="14"/>
      <c r="N18" s="12"/>
      <c r="O18" s="13"/>
      <c r="P18" s="13"/>
      <c r="Q18" s="14"/>
      <c r="R18" s="12"/>
      <c r="S18" s="13"/>
      <c r="T18" s="13"/>
      <c r="U18" s="14"/>
      <c r="V18" s="12"/>
      <c r="W18" s="13"/>
      <c r="X18" s="13"/>
      <c r="Y18" s="14"/>
      <c r="Z18" s="12"/>
      <c r="AA18" s="13"/>
      <c r="AB18" s="13"/>
      <c r="AC18" s="14"/>
      <c r="AD18" s="13"/>
      <c r="AE18" s="13"/>
      <c r="AF18" s="13"/>
      <c r="AG18" s="14"/>
      <c r="AH18" s="12"/>
      <c r="AI18" s="13"/>
      <c r="AJ18" s="13"/>
      <c r="AK18" s="14"/>
      <c r="AL18" s="12"/>
      <c r="AM18" s="13"/>
      <c r="AN18" s="13"/>
      <c r="AO18" s="14"/>
      <c r="AP18" s="12"/>
      <c r="AQ18" s="12"/>
    </row>
    <row r="19" spans="1:43" s="58" customFormat="1" ht="15">
      <c r="A19" s="30"/>
      <c r="B19" s="17"/>
      <c r="C19" s="13"/>
      <c r="D19" s="13"/>
      <c r="E19" s="14"/>
      <c r="F19" s="12"/>
      <c r="G19" s="13"/>
      <c r="H19" s="13"/>
      <c r="I19" s="14"/>
      <c r="J19" s="12"/>
      <c r="K19" s="4"/>
      <c r="L19" s="13"/>
      <c r="M19" s="14"/>
      <c r="N19" s="12"/>
      <c r="O19" s="13"/>
      <c r="P19" s="13"/>
      <c r="Q19" s="14"/>
      <c r="R19" s="12"/>
      <c r="S19" s="13"/>
      <c r="T19" s="13"/>
      <c r="U19" s="14"/>
      <c r="V19" s="12"/>
      <c r="W19" s="13"/>
      <c r="X19" s="13"/>
      <c r="Y19" s="14"/>
      <c r="Z19" s="12"/>
      <c r="AA19" s="13"/>
      <c r="AB19" s="13"/>
      <c r="AC19" s="14"/>
      <c r="AD19" s="13"/>
      <c r="AE19" s="13"/>
      <c r="AF19" s="13"/>
      <c r="AG19" s="14"/>
      <c r="AH19" s="17"/>
      <c r="AI19" s="13"/>
      <c r="AJ19" s="13"/>
      <c r="AK19" s="14"/>
      <c r="AL19" s="12"/>
      <c r="AM19" s="13"/>
      <c r="AN19" s="13"/>
      <c r="AO19" s="14"/>
      <c r="AP19" s="12"/>
      <c r="AQ19" s="12"/>
    </row>
    <row r="20" spans="1:43" s="58" customFormat="1">
      <c r="A20" s="30"/>
      <c r="B20" s="67"/>
      <c r="C20" s="62"/>
      <c r="D20" s="62"/>
      <c r="E20" s="63"/>
      <c r="F20" s="62"/>
      <c r="G20" s="62"/>
      <c r="H20" s="62"/>
      <c r="I20" s="63"/>
      <c r="J20" s="62"/>
      <c r="K20" s="62"/>
      <c r="L20" s="62"/>
      <c r="M20" s="63"/>
      <c r="N20" s="62"/>
      <c r="O20" s="62"/>
      <c r="P20" s="62"/>
      <c r="Q20" s="63"/>
      <c r="R20" s="62"/>
      <c r="S20" s="62"/>
      <c r="T20" s="62"/>
      <c r="U20" s="65"/>
      <c r="V20" s="62"/>
      <c r="W20" s="62"/>
      <c r="X20" s="62"/>
      <c r="Y20" s="65"/>
      <c r="Z20" s="62"/>
      <c r="AA20" s="62"/>
      <c r="AB20" s="62"/>
      <c r="AC20" s="65"/>
      <c r="AD20" s="62"/>
      <c r="AE20" s="62"/>
      <c r="AF20" s="62"/>
      <c r="AG20" s="65"/>
      <c r="AH20" s="64"/>
      <c r="AI20" s="62"/>
      <c r="AJ20" s="62"/>
      <c r="AK20" s="65"/>
      <c r="AL20" s="64"/>
      <c r="AM20" s="62"/>
      <c r="AN20" s="62"/>
      <c r="AO20" s="65"/>
      <c r="AP20" s="64"/>
      <c r="AQ20" s="64"/>
    </row>
    <row r="23" spans="1:43">
      <c r="T23" s="66"/>
    </row>
    <row r="24" spans="1:43">
      <c r="T24" s="66"/>
    </row>
    <row r="25" spans="1:43">
      <c r="T25" s="66"/>
    </row>
  </sheetData>
  <pageMargins left="0.511811024" right="0.511811024" top="0.78740157499999996" bottom="0.78740157499999996" header="0.31496062000000002" footer="0.31496062000000002"/>
  <pageSetup paperSize="9" scale="88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d0c2f5-46b3-4361-a99b-24f4648c0e6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339D250D70424F936B1DB27F996E2E" ma:contentTypeVersion="16" ma:contentTypeDescription="Crie um novo documento." ma:contentTypeScope="" ma:versionID="7a2fbb99e0b734d7a9ed7b34bce92f04">
  <xsd:schema xmlns:xsd="http://www.w3.org/2001/XMLSchema" xmlns:xs="http://www.w3.org/2001/XMLSchema" xmlns:p="http://schemas.microsoft.com/office/2006/metadata/properties" xmlns:ns3="ccd0c2f5-46b3-4361-a99b-24f4648c0e63" xmlns:ns4="b28f7841-3b03-4637-9a26-dbbe9718c3a0" targetNamespace="http://schemas.microsoft.com/office/2006/metadata/properties" ma:root="true" ma:fieldsID="cf0d07efcf4898b639f3bfae06be41b7" ns3:_="" ns4:_="">
    <xsd:import namespace="ccd0c2f5-46b3-4361-a99b-24f4648c0e63"/>
    <xsd:import namespace="b28f7841-3b03-4637-9a26-dbbe9718c3a0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0c2f5-46b3-4361-a99b-24f4648c0e63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f7841-3b03-4637-9a26-dbbe9718c3a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36005A-FC5C-45B3-BED4-5CF1876DE01C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28f7841-3b03-4637-9a26-dbbe9718c3a0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ccd0c2f5-46b3-4361-a99b-24f4648c0e63"/>
  </ds:schemaRefs>
</ds:datastoreItem>
</file>

<file path=customXml/itemProps2.xml><?xml version="1.0" encoding="utf-8"?>
<ds:datastoreItem xmlns:ds="http://schemas.openxmlformats.org/officeDocument/2006/customXml" ds:itemID="{D522088D-83ED-4E27-8426-8032B1C21A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0c2f5-46b3-4361-a99b-24f4648c0e63"/>
    <ds:schemaRef ds:uri="b28f7841-3b03-4637-9a26-dbbe9718c3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86FD40-C9FF-4FB7-A293-07177F4B28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Menu</vt:lpstr>
      <vt:lpstr>Apoio</vt:lpstr>
      <vt:lpstr>DRE</vt:lpstr>
      <vt:lpstr>BP</vt:lpstr>
      <vt:lpstr>Desempenho Operacional</vt:lpstr>
      <vt:lpstr>DFC</vt:lpstr>
      <vt:lpstr>Menu!Area_de_impressao</vt:lpstr>
    </vt:vector>
  </TitlesOfParts>
  <Company>Eternit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Caroline Santos Silva</dc:creator>
  <cp:lastModifiedBy>Leticia Caroline Santos Silva</cp:lastModifiedBy>
  <cp:lastPrinted>2024-07-16T18:48:40Z</cp:lastPrinted>
  <dcterms:created xsi:type="dcterms:W3CDTF">2024-06-03T15:00:55Z</dcterms:created>
  <dcterms:modified xsi:type="dcterms:W3CDTF">2024-11-07T18:56:15Z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0x01010027339D250D70424F936B1DB27F996E2E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